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ison.castillo\Desktop\"/>
    </mc:Choice>
  </mc:AlternateContent>
  <bookViews>
    <workbookView xWindow="0" yWindow="0" windowWidth="28800" windowHeight="11730"/>
  </bookViews>
  <sheets>
    <sheet name="Hoja2" sheetId="2" r:id="rId1"/>
    <sheet name="Hoja1" sheetId="3" r:id="rId2"/>
    <sheet name="Contratos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M12" i="2" l="1"/>
  <c r="D10" i="4" l="1"/>
  <c r="G7" i="4"/>
  <c r="H38" i="2"/>
  <c r="G30" i="3"/>
  <c r="G31" i="3" s="1"/>
  <c r="G17" i="3"/>
  <c r="I61" i="2" l="1"/>
  <c r="K61" i="2" s="1"/>
  <c r="I60" i="2"/>
  <c r="K60" i="2" s="1"/>
  <c r="I30" i="2"/>
  <c r="K30" i="2" s="1"/>
  <c r="K62" i="2" l="1"/>
  <c r="I31" i="2"/>
  <c r="K31" i="2" s="1"/>
  <c r="H39" i="2" l="1"/>
  <c r="J39" i="2" s="1"/>
  <c r="J5" i="2"/>
  <c r="D13" i="2" l="1"/>
  <c r="F13" i="2" s="1"/>
  <c r="I13" i="2" s="1"/>
  <c r="J13" i="2" s="1"/>
  <c r="K13" i="2" s="1"/>
  <c r="D25" i="2"/>
  <c r="D23" i="2"/>
  <c r="D21" i="2"/>
  <c r="D18" i="2"/>
  <c r="D11" i="2"/>
  <c r="D19" i="2"/>
  <c r="F19" i="2" s="1"/>
  <c r="I19" i="2" s="1"/>
  <c r="J19" i="2" s="1"/>
  <c r="K19" i="2" s="1"/>
  <c r="D14" i="2"/>
  <c r="J38" i="2"/>
  <c r="D16" i="2"/>
  <c r="F16" i="2" s="1"/>
  <c r="I16" i="2" s="1"/>
  <c r="J16" i="2" s="1"/>
  <c r="K16" i="2" s="1"/>
  <c r="D12" i="2"/>
  <c r="F12" i="2" s="1"/>
  <c r="I12" i="2" s="1"/>
  <c r="J12" i="2" s="1"/>
  <c r="K12" i="2" s="1"/>
  <c r="F25" i="2" l="1"/>
  <c r="I25" i="2" s="1"/>
  <c r="F18" i="2"/>
  <c r="I18" i="2" s="1"/>
  <c r="J18" i="2" s="1"/>
  <c r="F11" i="2"/>
  <c r="I11" i="2" s="1"/>
  <c r="J11" i="2" s="1"/>
  <c r="K11" i="2" s="1"/>
  <c r="F23" i="2"/>
  <c r="I24" i="2" s="1"/>
  <c r="J24" i="2" s="1"/>
  <c r="K24" i="2" s="1"/>
  <c r="F21" i="2"/>
  <c r="K32" i="2"/>
  <c r="Q59" i="2" s="1"/>
  <c r="F14" i="2"/>
  <c r="I14" i="2" s="1"/>
  <c r="J14" i="2" s="1"/>
  <c r="K14" i="2" s="1"/>
  <c r="I20" i="2"/>
  <c r="J20" i="2" s="1"/>
  <c r="K20" i="2" s="1"/>
  <c r="I17" i="2"/>
  <c r="J17" i="2" s="1"/>
  <c r="K17" i="2" s="1"/>
  <c r="K18" i="2" l="1"/>
  <c r="I21" i="2"/>
  <c r="J21" i="2" s="1"/>
  <c r="K21" i="2" s="1"/>
  <c r="J25" i="2"/>
  <c r="K25" i="2" s="1"/>
  <c r="I23" i="2"/>
  <c r="J23" i="2" s="1"/>
  <c r="K23" i="2" s="1"/>
  <c r="K26" i="2" l="1"/>
  <c r="K27" i="2" s="1"/>
  <c r="K28" i="2" s="1"/>
  <c r="Q58" i="2"/>
  <c r="Q57" i="2"/>
  <c r="Q56" i="2" l="1"/>
  <c r="Q64" i="2" s="1"/>
  <c r="K29" i="2"/>
  <c r="K33" i="2" s="1"/>
  <c r="M13" i="2" l="1"/>
  <c r="D46" i="2" s="1"/>
  <c r="D48" i="2" l="1"/>
  <c r="F48" i="2" s="1"/>
  <c r="D51" i="2"/>
  <c r="F46" i="2"/>
  <c r="I46" i="2" s="1"/>
  <c r="J46" i="2" s="1"/>
  <c r="K46" i="2" s="1"/>
  <c r="D47" i="2"/>
  <c r="D49" i="2"/>
  <c r="I48" i="2"/>
  <c r="J48" i="2" s="1"/>
  <c r="K48" i="2" s="1"/>
  <c r="F49" i="2" l="1"/>
  <c r="I49" i="2" s="1"/>
  <c r="J49" i="2" s="1"/>
  <c r="K49" i="2" s="1"/>
  <c r="F47" i="2"/>
  <c r="I47" i="2"/>
  <c r="J47" i="2" s="1"/>
  <c r="K47" i="2" s="1"/>
  <c r="D53" i="2"/>
  <c r="D54" i="2"/>
  <c r="F51" i="2"/>
  <c r="I52" i="2" s="1"/>
  <c r="J52" i="2" s="1"/>
  <c r="K52" i="2" s="1"/>
  <c r="F54" i="2" l="1"/>
  <c r="I54" i="2" s="1"/>
  <c r="J54" i="2" s="1"/>
  <c r="K54" i="2" s="1"/>
  <c r="I51" i="2"/>
  <c r="J51" i="2" s="1"/>
  <c r="K51" i="2" s="1"/>
  <c r="F53" i="2"/>
  <c r="I53" i="2"/>
  <c r="J53" i="2" s="1"/>
  <c r="K53" i="2" s="1"/>
  <c r="I55" i="2" l="1"/>
  <c r="J55" i="2" s="1"/>
  <c r="K55" i="2" s="1"/>
  <c r="K56" i="2" s="1"/>
  <c r="K57" i="2" s="1"/>
  <c r="K58" i="2" s="1"/>
  <c r="K59" i="2" s="1"/>
  <c r="K63" i="2" s="1"/>
  <c r="K64" i="2" s="1"/>
</calcChain>
</file>

<file path=xl/comments1.xml><?xml version="1.0" encoding="utf-8"?>
<comments xmlns="http://schemas.openxmlformats.org/spreadsheetml/2006/main">
  <authors>
    <author>Seguimiento Seguridad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Seguimiento Seguridad:</t>
        </r>
        <r>
          <rPr>
            <sz val="9"/>
            <color indexed="81"/>
            <rFont val="Tahoma"/>
            <family val="2"/>
          </rPr>
          <t xml:space="preserve">
Este servicio no se esta prestando, se propone que sea el decontrol de salida vehicular </t>
        </r>
      </text>
    </comment>
  </commentList>
</comments>
</file>

<file path=xl/sharedStrings.xml><?xml version="1.0" encoding="utf-8"?>
<sst xmlns="http://schemas.openxmlformats.org/spreadsheetml/2006/main" count="224" uniqueCount="125">
  <si>
    <t>SMMLV</t>
  </si>
  <si>
    <t>Factor</t>
  </si>
  <si>
    <t>Tarifa Mínima</t>
  </si>
  <si>
    <t>NOMBRE DEL SERVICIO</t>
  </si>
  <si>
    <t xml:space="preserve">CANTIDAD SERVICIOS </t>
  </si>
  <si>
    <t>VALOR BASE DEL SERVICIO Tarifa 2020</t>
  </si>
  <si>
    <t>% Gastos Admon. y Super. (8%, 10% ó 11%)</t>
  </si>
  <si>
    <t xml:space="preserve">Valor Gastos Administración y Supervisión </t>
  </si>
  <si>
    <t xml:space="preserve"> VARIABLE DE PROPORCIONALIDAD</t>
  </si>
  <si>
    <t xml:space="preserve">DIAS LABORADOS CON APROXIMACION DE DECIMALES </t>
  </si>
  <si>
    <t>COSTO MENSUAL POR SERVICIO</t>
  </si>
  <si>
    <t xml:space="preserve">COSTO MENSUAL POR No. DE SERVICIOS </t>
  </si>
  <si>
    <t xml:space="preserve">TOTAL SERVICIO </t>
  </si>
  <si>
    <t>Valor Total de los Servicios antes de IVA</t>
  </si>
  <si>
    <t>AIU (Administración, imprevistos, utilidad) Base Gravable para el IVA (10% del Total de los Servicios)</t>
  </si>
  <si>
    <t>IVA 19% de la Base Gravable</t>
  </si>
  <si>
    <t>Medios técnológicos  adicionales</t>
  </si>
  <si>
    <t>Valor Total mes</t>
  </si>
  <si>
    <t>Valor Individual mes</t>
  </si>
  <si>
    <t>% Proyectado</t>
  </si>
  <si>
    <t xml:space="preserve">VALOR BASE DEL SERVICIO Tarifa incrementada en 6% para 2021 </t>
  </si>
  <si>
    <r>
      <t xml:space="preserve">Servicios sabados 12 horas </t>
    </r>
    <r>
      <rPr>
        <b/>
        <sz val="6"/>
        <rFont val="Arial"/>
        <family val="2"/>
      </rPr>
      <t>sin arma</t>
    </r>
  </si>
  <si>
    <r>
      <t xml:space="preserve">Servicios 24 horas lunes a domingo incluidos festivos </t>
    </r>
    <r>
      <rPr>
        <b/>
        <sz val="6"/>
        <rFont val="Arial"/>
        <family val="2"/>
      </rPr>
      <t>manejador canino</t>
    </r>
  </si>
  <si>
    <r>
      <t xml:space="preserve">Servicios 24 horas Lunes a Domingo Incluidos festivos </t>
    </r>
    <r>
      <rPr>
        <b/>
        <sz val="6"/>
        <rFont val="Arial"/>
        <family val="2"/>
      </rPr>
      <t>con arma</t>
    </r>
  </si>
  <si>
    <r>
      <t xml:space="preserve">Servicios Lunes a viernes sin festivos 16 horas </t>
    </r>
    <r>
      <rPr>
        <b/>
        <sz val="6"/>
        <rFont val="Arial"/>
        <family val="2"/>
      </rPr>
      <t>sin arma</t>
    </r>
    <r>
      <rPr>
        <sz val="6"/>
        <rFont val="Arial"/>
        <family val="2"/>
      </rPr>
      <t xml:space="preserve"> 15 horas diurno, 1 hora nocturna</t>
    </r>
  </si>
  <si>
    <r>
      <t xml:space="preserve">Servicios 16 horas lunes a viernes sin festivos </t>
    </r>
    <r>
      <rPr>
        <b/>
        <sz val="6"/>
        <color indexed="8"/>
        <rFont val="Arial"/>
        <family val="2"/>
      </rPr>
      <t>manejador canino</t>
    </r>
    <r>
      <rPr>
        <sz val="6"/>
        <color indexed="8"/>
        <rFont val="Arial"/>
        <family val="2"/>
      </rPr>
      <t xml:space="preserve"> 15 horas diurno, 1 hora nocturna</t>
    </r>
  </si>
  <si>
    <r>
      <t xml:space="preserve">Servicios 16 horas lunes a viernes sin festivos </t>
    </r>
    <r>
      <rPr>
        <b/>
        <sz val="6"/>
        <color indexed="8"/>
        <rFont val="Arial"/>
        <family val="2"/>
      </rPr>
      <t xml:space="preserve">manejador canino, </t>
    </r>
    <r>
      <rPr>
        <sz val="6"/>
        <color indexed="8"/>
        <rFont val="Arial"/>
        <family val="2"/>
      </rPr>
      <t>15 horas diurnas, 1 hora nocturna</t>
    </r>
  </si>
  <si>
    <r>
      <t xml:space="preserve">Servicios sabados 12 horas </t>
    </r>
    <r>
      <rPr>
        <b/>
        <sz val="6"/>
        <rFont val="Arial"/>
        <family val="2"/>
      </rPr>
      <t>manejador canino</t>
    </r>
  </si>
  <si>
    <r>
      <t xml:space="preserve">Servicios Lunes a viernes sin festivos </t>
    </r>
    <r>
      <rPr>
        <b/>
        <sz val="6"/>
        <rFont val="Arial"/>
        <family val="2"/>
      </rPr>
      <t>control ingreso</t>
    </r>
    <r>
      <rPr>
        <sz val="6"/>
        <rFont val="Arial"/>
        <family val="2"/>
      </rPr>
      <t xml:space="preserve"> </t>
    </r>
    <r>
      <rPr>
        <b/>
        <sz val="6"/>
        <rFont val="Arial"/>
        <family val="2"/>
      </rPr>
      <t>sin arma</t>
    </r>
    <r>
      <rPr>
        <sz val="6"/>
        <rFont val="Arial"/>
        <family val="2"/>
      </rPr>
      <t xml:space="preserve"> 16 horas15 horas diurno, 1 hora nocturna</t>
    </r>
  </si>
  <si>
    <r>
      <t xml:space="preserve">Servicios sabados 12 horas </t>
    </r>
    <r>
      <rPr>
        <b/>
        <sz val="6"/>
        <rFont val="Arial"/>
        <family val="2"/>
      </rPr>
      <t>control ingreso sin arma</t>
    </r>
  </si>
  <si>
    <t>CALCULO DE TARIFA MINIMA PARTE 2022</t>
  </si>
  <si>
    <t>CALCULO DE TARIFA MINIMA PARTE 2023</t>
  </si>
  <si>
    <t xml:space="preserve">Valor Total de los servicios año 2023 incluido IVA 19% </t>
  </si>
  <si>
    <t>Valor Total de los Servicios 2023 antes de IVA</t>
  </si>
  <si>
    <t>Valor Total de los Servicios 2022 más valor de los medios adicionales (IVA incluido)</t>
  </si>
  <si>
    <t xml:space="preserve">Valor Total de los servicios año 2022 incluido IVA 19% </t>
  </si>
  <si>
    <t>DIAS</t>
  </si>
  <si>
    <t>Total</t>
  </si>
  <si>
    <t>Clases</t>
  </si>
  <si>
    <t xml:space="preserve">TOTAL SERVICIO ( 3 meses, 12 dias) </t>
  </si>
  <si>
    <t xml:space="preserve">TOTAL SERVICIO ( 3 meses, 12 dias)  </t>
  </si>
  <si>
    <t xml:space="preserve"> Plan corporativo Ilimitado  PTT y Llamadas</t>
  </si>
  <si>
    <t xml:space="preserve">Detector de Metales </t>
  </si>
  <si>
    <t>Los siguientes servicios se prestarán en el período: del 23 de enero de 2023 al 09 de junio de 2023 y del 24 de julio 2023 al 30 de noviembre de 2023</t>
  </si>
  <si>
    <t xml:space="preserve">Valor Total del servicios 2022 y 2023 proyeccion de aumento del SMMLV en 10% para 2023. Incluido IVA 19% </t>
  </si>
  <si>
    <t>VALOR CONTRATO SERVICIO DE SEGURIDAD 2022-2023 (Artículo 462-1 E.T, Base Gravable Especial) / Tarifas de la Circular Externa  No. Nº  20211300000225 Superintendencia de Vigilancia y Seguridad privada del 31 de Diciembre de 2020 / Decreto 4950 de 2007</t>
  </si>
  <si>
    <t xml:space="preserve"> VALOR CONTRATO SERVICIO DE SEGURIDAD 2022-2023 (Artículo 462-1 E.T, Base Gravable Especial) / Tarifas de la Circular Externa  No. Nº  20211300000225 Superintendencia de Vigilancia y Seguridad privada del 31 de Diciembre de 2020 / Decreto 4950 de 2007</t>
  </si>
  <si>
    <t>SMMLV 2022</t>
  </si>
  <si>
    <t>SMMLV 2023</t>
  </si>
  <si>
    <t xml:space="preserve">Los siguientes servicios se prestarán desde el 25 de noviembre de 2022 hasta el 31 de diciembre de 2022 </t>
  </si>
  <si>
    <t>TOTAL SERVICIO  (1 mes , 6 dias)</t>
  </si>
  <si>
    <t>Los siguientes servicios se prestarán desde el 1 de enero de 2023 hasta el 24 de noviembre de 2023</t>
  </si>
  <si>
    <t>TOTAL SERVICIO  (10 meses, 24 dias)</t>
  </si>
  <si>
    <t>Los siguientes servicios se prestarán en el período: del 23 de enero de 2023 al 09 de junio de 2023 y del 24 de julio 2023 al 24 de noviembre de 2023</t>
  </si>
  <si>
    <t xml:space="preserve">TOTAL SERVICIO ( 8 meses, 20 dias) </t>
  </si>
  <si>
    <t>Clases Medicina</t>
  </si>
  <si>
    <r>
      <t xml:space="preserve">Servicios 24 horas Lunes a Domingo Incluidos festivos </t>
    </r>
    <r>
      <rPr>
        <b/>
        <sz val="6"/>
        <rFont val="Arial"/>
        <family val="2"/>
      </rPr>
      <t>sin arma Incluidos 1 OMT</t>
    </r>
  </si>
  <si>
    <r>
      <t xml:space="preserve">Servicios 24 horas Lunes a Domingo Incluidos festivos </t>
    </r>
    <r>
      <rPr>
        <b/>
        <sz val="6"/>
        <rFont val="Arial"/>
        <family val="2"/>
      </rPr>
      <t>Sin arma</t>
    </r>
  </si>
  <si>
    <t>N/A</t>
  </si>
  <si>
    <t>Lunes a sabado sin festivos</t>
  </si>
  <si>
    <t>Manejador canino 02</t>
  </si>
  <si>
    <t>Porteria Sur</t>
  </si>
  <si>
    <t>lunes a viernes sin festivos</t>
  </si>
  <si>
    <t xml:space="preserve">Parqueadero laboratorios cabal </t>
  </si>
  <si>
    <t xml:space="preserve">Edificio Cabal </t>
  </si>
  <si>
    <t>Recorredor complejo Laboratorios fase I</t>
  </si>
  <si>
    <t>Complejo Laboratorios fase I</t>
  </si>
  <si>
    <t>Recorredor Concha Acustica</t>
  </si>
  <si>
    <t>Concha Acustica</t>
  </si>
  <si>
    <t>Bicicletero</t>
  </si>
  <si>
    <t xml:space="preserve">Entrada Principal  </t>
  </si>
  <si>
    <t>Control Torniquetes 02</t>
  </si>
  <si>
    <t>Control Torniquetes 01</t>
  </si>
  <si>
    <t>Recepcionista 02</t>
  </si>
  <si>
    <t>Recepcionista 01</t>
  </si>
  <si>
    <t>Q (Und)</t>
  </si>
  <si>
    <t>TURNOS</t>
  </si>
  <si>
    <t>HORAS</t>
  </si>
  <si>
    <t>DÍAS</t>
  </si>
  <si>
    <t>NOMBRE PUESTO</t>
  </si>
  <si>
    <t>UBICACIÓN</t>
  </si>
  <si>
    <t>Total Sede Campus Nueva Granada permanente</t>
  </si>
  <si>
    <t>Lunes a Domingo incluidos festivos</t>
  </si>
  <si>
    <t>Entrada principal canino Antiexplosivos</t>
  </si>
  <si>
    <t>Sala de Monitoreo Campus Cajica</t>
  </si>
  <si>
    <t>Edificio Archivo y Seguridad (Cenacom)</t>
  </si>
  <si>
    <t>Recorredor dificio Archivo y Seguridad (Cenacom)</t>
  </si>
  <si>
    <t>Recorredor complejo laboratorios fase II y Hangar</t>
  </si>
  <si>
    <t>Complejo laboratorios fase II y Hangar</t>
  </si>
  <si>
    <t>Recorredor complejo ciencias básicas Mutis</t>
  </si>
  <si>
    <t>Recorredor camacho Leyva</t>
  </si>
  <si>
    <t>Edificio Camacho Leyva</t>
  </si>
  <si>
    <t>Recorredor oriental</t>
  </si>
  <si>
    <t>Ronda Rio</t>
  </si>
  <si>
    <t>Perimetral occidental</t>
  </si>
  <si>
    <t>Perimetral Norte</t>
  </si>
  <si>
    <t>Malla perimetral costado norte</t>
  </si>
  <si>
    <t>Perimetral sur</t>
  </si>
  <si>
    <t>Malla perimetral costado sur</t>
  </si>
  <si>
    <t>Entrada vehicular portería norte</t>
  </si>
  <si>
    <t>Porteria Norte</t>
  </si>
  <si>
    <t>Entrada vehicular porteria sur</t>
  </si>
  <si>
    <t>Los siguientes servicios se prestarán desde el 25 de noviembre de 2022 hasta el 24 de noviembre 2023</t>
  </si>
  <si>
    <t xml:space="preserve">Edificio Mutis  </t>
  </si>
  <si>
    <t xml:space="preserve">Total Sede Campus Nueva Granada Periodos académicos </t>
  </si>
  <si>
    <t>Total Sede Campus Nueva Granada Periodos académicos y permanentes</t>
  </si>
  <si>
    <t>SEDE CAMPUS NUEVA GRANADA</t>
  </si>
  <si>
    <t>16 (15 diurnas, 1 nocturna)</t>
  </si>
  <si>
    <t>06:00 A 22:00</t>
  </si>
  <si>
    <t xml:space="preserve">Total dispositivo en presencialidad </t>
  </si>
  <si>
    <t>Total dispositivo en receso academico</t>
  </si>
  <si>
    <t>Medio Tecnológico</t>
  </si>
  <si>
    <t>Cantidad</t>
  </si>
  <si>
    <t>Equipo de comunicación</t>
  </si>
  <si>
    <t>Detector de Metales</t>
  </si>
  <si>
    <r>
      <t xml:space="preserve">Servicios lunes a viernes 12 horas </t>
    </r>
    <r>
      <rPr>
        <b/>
        <sz val="6"/>
        <rFont val="Arial"/>
        <family val="2"/>
      </rPr>
      <t>sin arma</t>
    </r>
  </si>
  <si>
    <r>
      <t xml:space="preserve">Servicios 16 horas lunes a sabado sin festivos </t>
    </r>
    <r>
      <rPr>
        <b/>
        <sz val="6"/>
        <color indexed="8"/>
        <rFont val="Arial"/>
        <family val="2"/>
      </rPr>
      <t xml:space="preserve">manejador canino, </t>
    </r>
    <r>
      <rPr>
        <sz val="6"/>
        <color indexed="8"/>
        <rFont val="Arial"/>
        <family val="2"/>
      </rPr>
      <t>15 horas diurnas, 1 hora nocturna</t>
    </r>
  </si>
  <si>
    <r>
      <t xml:space="preserve">Servicios Lunes a sabado sin festivos 16 horas </t>
    </r>
    <r>
      <rPr>
        <b/>
        <sz val="6"/>
        <rFont val="Arial"/>
        <family val="2"/>
      </rPr>
      <t>sin arma</t>
    </r>
    <r>
      <rPr>
        <sz val="6"/>
        <rFont val="Arial"/>
        <family val="2"/>
      </rPr>
      <t xml:space="preserve"> 15 horas diurno, 1 hora nocturna</t>
    </r>
  </si>
  <si>
    <t>Valor Total de los Servicios 2023 más valor de los medios adicionales (IVA incluido)</t>
  </si>
  <si>
    <r>
      <t>Total costo avanteles incluido IVA</t>
    </r>
    <r>
      <rPr>
        <b/>
        <sz val="8"/>
        <color indexed="8"/>
        <rFont val="Arial"/>
        <family val="2"/>
      </rPr>
      <t xml:space="preserve"> por 10 MESES, 24 DIAS</t>
    </r>
  </si>
  <si>
    <r>
      <t>Total costo avanteles incluido IVA</t>
    </r>
    <r>
      <rPr>
        <b/>
        <sz val="8"/>
        <color indexed="8"/>
        <rFont val="Arial"/>
        <family val="2"/>
      </rPr>
      <t xml:space="preserve"> por 36 DIAS</t>
    </r>
  </si>
  <si>
    <r>
      <t>Total costo Detectores incluido IVA</t>
    </r>
    <r>
      <rPr>
        <b/>
        <sz val="8"/>
        <color indexed="8"/>
        <rFont val="Arial"/>
        <family val="2"/>
      </rPr>
      <t xml:space="preserve"> por 36 DIAS</t>
    </r>
  </si>
  <si>
    <r>
      <t>Total costo Detectores incluido IVA</t>
    </r>
    <r>
      <rPr>
        <b/>
        <sz val="8"/>
        <color indexed="8"/>
        <rFont val="Arial"/>
        <family val="2"/>
      </rPr>
      <t xml:space="preserve"> por 10 MESES, 24 DIAS</t>
    </r>
  </si>
  <si>
    <t xml:space="preserve">Medios técnológicos  adicionales por TREINTA Y SEIS (36) dias </t>
  </si>
  <si>
    <t>Medios técnológicos  adicionales por DIEZ (10) meses VEINTICUATRO (24)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</si>
</sst>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[$$-440A]#,##0.00"/>
    <numFmt numFmtId="166" formatCode="#,##0.0"/>
    <numFmt numFmtId="167" formatCode="&quot;$&quot;\ 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  <scheme val="minor"/>
    </font>
    <font>
      <b/>
      <sz val="6"/>
      <color rgb="FF000000"/>
      <name val="Arial"/>
      <family val="2"/>
    </font>
    <font>
      <b/>
      <sz val="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Calibri"/>
      <family val="2"/>
      <scheme val="minor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8"/>
      <color rgb="FFFF0000"/>
      <name val="Calibri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27C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DEEAF6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67" fontId="6" fillId="0" borderId="10" xfId="1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2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5" xfId="2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9" fontId="6" fillId="3" borderId="9" xfId="0" applyNumberFormat="1" applyFont="1" applyFill="1" applyBorder="1" applyAlignment="1">
      <alignment horizontal="center" vertical="center"/>
    </xf>
    <xf numFmtId="10" fontId="6" fillId="3" borderId="9" xfId="0" applyNumberFormat="1" applyFont="1" applyFill="1" applyBorder="1" applyAlignment="1">
      <alignment horizontal="center" vertical="center"/>
    </xf>
    <xf numFmtId="167" fontId="6" fillId="3" borderId="10" xfId="1" applyNumberFormat="1" applyFont="1" applyFill="1" applyBorder="1" applyAlignment="1">
      <alignment horizontal="center" vertical="center"/>
    </xf>
    <xf numFmtId="167" fontId="6" fillId="3" borderId="3" xfId="1" applyNumberFormat="1" applyFont="1" applyFill="1" applyBorder="1" applyAlignment="1">
      <alignment horizontal="center" vertical="center"/>
    </xf>
    <xf numFmtId="167" fontId="6" fillId="3" borderId="6" xfId="1" applyNumberFormat="1" applyFont="1" applyFill="1" applyBorder="1" applyAlignment="1">
      <alignment horizontal="center" vertical="center"/>
    </xf>
    <xf numFmtId="167" fontId="2" fillId="6" borderId="10" xfId="0" applyNumberFormat="1" applyFont="1" applyFill="1" applyBorder="1" applyAlignment="1">
      <alignment horizontal="center" vertical="center"/>
    </xf>
    <xf numFmtId="167" fontId="2" fillId="7" borderId="10" xfId="0" applyNumberFormat="1" applyFont="1" applyFill="1" applyBorder="1" applyAlignment="1">
      <alignment horizontal="center" vertical="center"/>
    </xf>
    <xf numFmtId="167" fontId="7" fillId="7" borderId="10" xfId="0" applyNumberFormat="1" applyFont="1" applyFill="1" applyBorder="1" applyAlignment="1">
      <alignment horizontal="center" vertical="center"/>
    </xf>
    <xf numFmtId="167" fontId="7" fillId="7" borderId="6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6" fontId="4" fillId="0" borderId="9" xfId="0" applyNumberFormat="1" applyFont="1" applyBorder="1" applyAlignment="1">
      <alignment horizontal="center" vertical="center" wrapText="1"/>
    </xf>
    <xf numFmtId="165" fontId="4" fillId="0" borderId="0" xfId="0" applyNumberFormat="1" applyFont="1"/>
    <xf numFmtId="3" fontId="4" fillId="0" borderId="0" xfId="0" applyNumberFormat="1" applyFont="1"/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165" fontId="11" fillId="4" borderId="10" xfId="0" applyNumberFormat="1" applyFont="1" applyFill="1" applyBorder="1" applyAlignment="1">
      <alignment horizontal="center" vertical="center" wrapText="1"/>
    </xf>
    <xf numFmtId="167" fontId="7" fillId="9" borderId="6" xfId="0" applyNumberFormat="1" applyFont="1" applyFill="1" applyBorder="1" applyAlignment="1">
      <alignment horizontal="center" vertical="center"/>
    </xf>
    <xf numFmtId="0" fontId="15" fillId="0" borderId="0" xfId="0" applyFont="1"/>
    <xf numFmtId="0" fontId="11" fillId="0" borderId="0" xfId="0" applyFont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0" fillId="0" borderId="0" xfId="0" applyNumberFormat="1"/>
    <xf numFmtId="0" fontId="2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9" fontId="6" fillId="0" borderId="9" xfId="2" applyFont="1" applyFill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0" fillId="11" borderId="0" xfId="0" applyFill="1"/>
    <xf numFmtId="167" fontId="2" fillId="6" borderId="31" xfId="0" applyNumberFormat="1" applyFont="1" applyFill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10" fontId="10" fillId="0" borderId="5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6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167" fontId="8" fillId="0" borderId="13" xfId="0" applyNumberFormat="1" applyFont="1" applyBorder="1" applyAlignment="1">
      <alignment horizontal="center" vertical="center"/>
    </xf>
    <xf numFmtId="0" fontId="0" fillId="0" borderId="9" xfId="0" applyBorder="1"/>
    <xf numFmtId="0" fontId="16" fillId="3" borderId="8" xfId="0" applyFont="1" applyFill="1" applyBorder="1" applyAlignment="1">
      <alignment horizontal="center" vertical="center" wrapText="1"/>
    </xf>
    <xf numFmtId="9" fontId="6" fillId="3" borderId="9" xfId="2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5" fillId="12" borderId="34" xfId="0" applyFont="1" applyFill="1" applyBorder="1" applyAlignment="1">
      <alignment horizontal="center" vertical="center" wrapText="1"/>
    </xf>
    <xf numFmtId="0" fontId="25" fillId="12" borderId="38" xfId="0" applyFont="1" applyFill="1" applyBorder="1" applyAlignment="1">
      <alignment horizontal="center" vertical="center" wrapText="1"/>
    </xf>
    <xf numFmtId="0" fontId="25" fillId="12" borderId="39" xfId="0" applyFont="1" applyFill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1" fontId="6" fillId="9" borderId="9" xfId="0" applyNumberFormat="1" applyFont="1" applyFill="1" applyBorder="1" applyAlignment="1">
      <alignment horizontal="center" vertical="center"/>
    </xf>
    <xf numFmtId="167" fontId="6" fillId="9" borderId="10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0" fillId="0" borderId="0" xfId="3" applyFont="1"/>
    <xf numFmtId="0" fontId="5" fillId="9" borderId="9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1" fontId="6" fillId="9" borderId="9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165" fontId="7" fillId="9" borderId="16" xfId="0" applyNumberFormat="1" applyFont="1" applyFill="1" applyBorder="1" applyAlignment="1">
      <alignment horizontal="center" vertical="center" wrapText="1"/>
    </xf>
    <xf numFmtId="165" fontId="7" fillId="9" borderId="17" xfId="0" applyNumberFormat="1" applyFont="1" applyFill="1" applyBorder="1" applyAlignment="1">
      <alignment horizontal="center" vertical="center" wrapText="1"/>
    </xf>
    <xf numFmtId="165" fontId="7" fillId="9" borderId="18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9" fontId="6" fillId="3" borderId="9" xfId="2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3" fontId="20" fillId="2" borderId="25" xfId="0" applyNumberFormat="1" applyFont="1" applyFill="1" applyBorder="1" applyAlignment="1">
      <alignment horizontal="center" vertical="center"/>
    </xf>
    <xf numFmtId="3" fontId="20" fillId="2" borderId="23" xfId="0" applyNumberFormat="1" applyFont="1" applyFill="1" applyBorder="1" applyAlignment="1">
      <alignment horizontal="center" vertical="center"/>
    </xf>
    <xf numFmtId="3" fontId="20" fillId="2" borderId="24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center" vertical="center" wrapText="1"/>
    </xf>
    <xf numFmtId="0" fontId="21" fillId="11" borderId="22" xfId="0" applyFont="1" applyFill="1" applyBorder="1" applyAlignment="1">
      <alignment horizontal="center" vertical="center" wrapText="1"/>
    </xf>
    <xf numFmtId="0" fontId="11" fillId="9" borderId="3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30" xfId="0" applyFont="1" applyFill="1" applyBorder="1" applyAlignment="1">
      <alignment horizontal="center" vertical="center" wrapText="1"/>
    </xf>
    <xf numFmtId="165" fontId="7" fillId="9" borderId="27" xfId="0" applyNumberFormat="1" applyFont="1" applyFill="1" applyBorder="1" applyAlignment="1">
      <alignment horizontal="center" vertical="center" wrapText="1"/>
    </xf>
    <xf numFmtId="165" fontId="7" fillId="9" borderId="14" xfId="0" applyNumberFormat="1" applyFont="1" applyFill="1" applyBorder="1" applyAlignment="1">
      <alignment horizontal="center" vertical="center" wrapText="1"/>
    </xf>
    <xf numFmtId="165" fontId="7" fillId="9" borderId="15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9" fontId="6" fillId="0" borderId="9" xfId="2" applyFont="1" applyFill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165" fontId="7" fillId="9" borderId="12" xfId="0" applyNumberFormat="1" applyFont="1" applyFill="1" applyBorder="1" applyAlignment="1">
      <alignment horizontal="center" vertical="center" wrapText="1"/>
    </xf>
    <xf numFmtId="165" fontId="7" fillId="9" borderId="13" xfId="0" applyNumberFormat="1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0" borderId="46" xfId="2" applyFont="1" applyFill="1" applyBorder="1" applyAlignment="1">
      <alignment horizontal="center" vertical="center"/>
    </xf>
    <xf numFmtId="9" fontId="6" fillId="0" borderId="47" xfId="2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1" fontId="6" fillId="9" borderId="46" xfId="0" applyNumberFormat="1" applyFont="1" applyFill="1" applyBorder="1" applyAlignment="1">
      <alignment horizontal="center" vertical="center"/>
    </xf>
    <xf numFmtId="1" fontId="6" fillId="9" borderId="47" xfId="0" applyNumberFormat="1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3" fontId="20" fillId="8" borderId="1" xfId="0" applyNumberFormat="1" applyFont="1" applyFill="1" applyBorder="1" applyAlignment="1">
      <alignment horizontal="center" vertical="center"/>
    </xf>
    <xf numFmtId="3" fontId="20" fillId="8" borderId="21" xfId="0" applyNumberFormat="1" applyFont="1" applyFill="1" applyBorder="1" applyAlignment="1">
      <alignment horizontal="center" vertical="center"/>
    </xf>
    <xf numFmtId="3" fontId="20" fillId="8" borderId="22" xfId="0" applyNumberFormat="1" applyFont="1" applyFill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6" fillId="12" borderId="42" xfId="0" applyFont="1" applyFill="1" applyBorder="1" applyAlignment="1">
      <alignment horizontal="center" vertical="center" wrapText="1"/>
    </xf>
    <xf numFmtId="0" fontId="26" fillId="12" borderId="41" xfId="0" applyFont="1" applyFill="1" applyBorder="1" applyAlignment="1">
      <alignment horizontal="center" vertical="center" wrapText="1"/>
    </xf>
    <xf numFmtId="0" fontId="26" fillId="12" borderId="40" xfId="0" applyFont="1" applyFill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69"/>
  <sheetViews>
    <sheetView showGridLines="0" tabSelected="1" topLeftCell="A27" zoomScale="130" zoomScaleNormal="130" workbookViewId="0">
      <selection activeCell="B32" sqref="B32:J32"/>
    </sheetView>
  </sheetViews>
  <sheetFormatPr baseColWidth="10" defaultRowHeight="15" x14ac:dyDescent="0.25"/>
  <cols>
    <col min="1" max="1" width="3" customWidth="1"/>
    <col min="2" max="2" width="11.42578125" style="40"/>
    <col min="3" max="3" width="7" style="1" customWidth="1"/>
    <col min="4" max="4" width="8.7109375" style="1" customWidth="1"/>
    <col min="5" max="5" width="8.5703125" style="1" customWidth="1"/>
    <col min="6" max="6" width="12.28515625" style="1" customWidth="1"/>
    <col min="7" max="7" width="8.42578125" style="1" customWidth="1"/>
    <col min="8" max="8" width="9.28515625" style="1" bestFit="1" customWidth="1"/>
    <col min="9" max="9" width="9" style="1" customWidth="1"/>
    <col min="10" max="10" width="13.7109375" style="1" customWidth="1"/>
    <col min="11" max="11" width="12.5703125" style="1" customWidth="1"/>
    <col min="12" max="13" width="14" bestFit="1" customWidth="1"/>
    <col min="14" max="14" width="14.7109375" bestFit="1" customWidth="1"/>
    <col min="15" max="15" width="13.28515625" bestFit="1" customWidth="1"/>
    <col min="16" max="16" width="12.42578125" customWidth="1"/>
    <col min="17" max="17" width="14.7109375" bestFit="1" customWidth="1"/>
  </cols>
  <sheetData>
    <row r="3" spans="2:16" ht="16.5" thickBot="1" x14ac:dyDescent="0.3">
      <c r="F3" s="114" t="s">
        <v>30</v>
      </c>
      <c r="G3" s="115"/>
      <c r="H3" s="115"/>
      <c r="I3" s="115"/>
      <c r="J3" s="116"/>
      <c r="L3" s="65">
        <v>2022</v>
      </c>
      <c r="M3" s="65">
        <v>2023</v>
      </c>
    </row>
    <row r="4" spans="2:16" ht="12.75" customHeight="1" x14ac:dyDescent="0.25">
      <c r="F4" s="12"/>
      <c r="G4" s="13"/>
      <c r="H4" s="13" t="s">
        <v>0</v>
      </c>
      <c r="I4" s="13" t="s">
        <v>1</v>
      </c>
      <c r="J4" s="14" t="s">
        <v>2</v>
      </c>
      <c r="L4" s="49" t="s">
        <v>36</v>
      </c>
      <c r="M4" s="49" t="s">
        <v>36</v>
      </c>
    </row>
    <row r="5" spans="2:16" ht="15.75" thickBot="1" x14ac:dyDescent="0.3">
      <c r="F5" s="15" t="s">
        <v>47</v>
      </c>
      <c r="G5" s="16"/>
      <c r="H5" s="17">
        <v>1000000</v>
      </c>
      <c r="I5" s="18">
        <v>8.8000000000000007</v>
      </c>
      <c r="J5" s="19">
        <f>H5*I5</f>
        <v>8800000</v>
      </c>
      <c r="L5" s="49">
        <v>36</v>
      </c>
      <c r="M5" s="49">
        <v>324</v>
      </c>
      <c r="N5" t="s">
        <v>37</v>
      </c>
      <c r="P5">
        <f>+M5/30</f>
        <v>10.8</v>
      </c>
    </row>
    <row r="6" spans="2:16" ht="16.5" customHeight="1" thickBot="1" x14ac:dyDescent="0.3">
      <c r="L6" s="49">
        <v>0</v>
      </c>
      <c r="M6" s="49">
        <v>266</v>
      </c>
      <c r="N6" t="s">
        <v>38</v>
      </c>
    </row>
    <row r="7" spans="2:16" ht="21" customHeight="1" x14ac:dyDescent="0.25">
      <c r="B7" s="117" t="s">
        <v>46</v>
      </c>
      <c r="C7" s="118"/>
      <c r="D7" s="118"/>
      <c r="E7" s="118"/>
      <c r="F7" s="118"/>
      <c r="G7" s="118"/>
      <c r="H7" s="118"/>
      <c r="I7" s="118"/>
      <c r="J7" s="118"/>
      <c r="K7" s="119"/>
      <c r="L7" s="71"/>
      <c r="M7" s="49">
        <v>277</v>
      </c>
      <c r="N7" t="s">
        <v>55</v>
      </c>
    </row>
    <row r="8" spans="2:16" s="1" customFormat="1" ht="65.25" customHeight="1" x14ac:dyDescent="0.2">
      <c r="B8" s="35" t="s">
        <v>3</v>
      </c>
      <c r="C8" s="36" t="s">
        <v>4</v>
      </c>
      <c r="D8" s="37" t="s">
        <v>5</v>
      </c>
      <c r="E8" s="36" t="s">
        <v>6</v>
      </c>
      <c r="F8" s="36" t="s">
        <v>7</v>
      </c>
      <c r="G8" s="36" t="s">
        <v>8</v>
      </c>
      <c r="H8" s="37" t="s">
        <v>9</v>
      </c>
      <c r="I8" s="36" t="s">
        <v>10</v>
      </c>
      <c r="J8" s="36" t="s">
        <v>11</v>
      </c>
      <c r="K8" s="38" t="s">
        <v>12</v>
      </c>
    </row>
    <row r="9" spans="2:16" ht="14.45" customHeight="1" x14ac:dyDescent="0.25">
      <c r="B9" s="120" t="s">
        <v>106</v>
      </c>
      <c r="C9" s="121"/>
      <c r="D9" s="121"/>
      <c r="E9" s="121"/>
      <c r="F9" s="121"/>
      <c r="G9" s="121"/>
      <c r="H9" s="121"/>
      <c r="I9" s="121"/>
      <c r="J9" s="121"/>
      <c r="K9" s="122"/>
    </row>
    <row r="10" spans="2:16" x14ac:dyDescent="0.25">
      <c r="B10" s="123" t="s">
        <v>49</v>
      </c>
      <c r="C10" s="124"/>
      <c r="D10" s="124"/>
      <c r="E10" s="124"/>
      <c r="F10" s="124"/>
      <c r="G10" s="124"/>
      <c r="H10" s="124"/>
      <c r="I10" s="125" t="s">
        <v>50</v>
      </c>
      <c r="J10" s="126"/>
      <c r="K10" s="127"/>
    </row>
    <row r="11" spans="2:16" ht="49.5" x14ac:dyDescent="0.25">
      <c r="B11" s="72" t="s">
        <v>56</v>
      </c>
      <c r="C11" s="53">
        <v>1</v>
      </c>
      <c r="D11" s="54">
        <f t="shared" ref="D11:D14" si="0">$J$5</f>
        <v>8800000</v>
      </c>
      <c r="E11" s="73">
        <v>0.08</v>
      </c>
      <c r="F11" s="54">
        <f t="shared" ref="F11" si="1">D11*E11</f>
        <v>704000</v>
      </c>
      <c r="G11" s="20">
        <v>1</v>
      </c>
      <c r="H11" s="56">
        <v>30</v>
      </c>
      <c r="I11" s="54">
        <f>(((((D11+F11)*G11)/30)*H11)/24)*24</f>
        <v>9504000</v>
      </c>
      <c r="J11" s="54">
        <f>C11*I11</f>
        <v>9504000</v>
      </c>
      <c r="K11" s="22">
        <f>J11/30*$L$5</f>
        <v>11404800</v>
      </c>
    </row>
    <row r="12" spans="2:16" ht="41.25" x14ac:dyDescent="0.25">
      <c r="B12" s="72" t="s">
        <v>22</v>
      </c>
      <c r="C12" s="53">
        <v>1</v>
      </c>
      <c r="D12" s="54">
        <f t="shared" si="0"/>
        <v>8800000</v>
      </c>
      <c r="E12" s="73">
        <v>0.11</v>
      </c>
      <c r="F12" s="54">
        <f>D12*E12</f>
        <v>968000</v>
      </c>
      <c r="G12" s="20">
        <v>1</v>
      </c>
      <c r="H12" s="56">
        <v>30</v>
      </c>
      <c r="I12" s="54">
        <f>(((((D12+F12)*G12)/30)*H12)/24)*24</f>
        <v>9768000</v>
      </c>
      <c r="J12" s="54">
        <f>C12*I12</f>
        <v>9768000</v>
      </c>
      <c r="K12" s="22">
        <f>J12/30*$L$5</f>
        <v>11721600</v>
      </c>
      <c r="M12" s="90">
        <f>+D11*0.2</f>
        <v>1760000</v>
      </c>
    </row>
    <row r="13" spans="2:16" ht="33" x14ac:dyDescent="0.25">
      <c r="B13" s="72" t="s">
        <v>23</v>
      </c>
      <c r="C13" s="53">
        <v>5</v>
      </c>
      <c r="D13" s="54">
        <f t="shared" si="0"/>
        <v>8800000</v>
      </c>
      <c r="E13" s="73">
        <v>0.1</v>
      </c>
      <c r="F13" s="54">
        <f t="shared" ref="F13" si="2">D13*E13</f>
        <v>880000</v>
      </c>
      <c r="G13" s="20">
        <v>1</v>
      </c>
      <c r="H13" s="56">
        <v>30</v>
      </c>
      <c r="I13" s="54">
        <f>(((((D13+F13)*G13)/30)*H13)/24)*24</f>
        <v>9680000</v>
      </c>
      <c r="J13" s="54">
        <f>C13*I13</f>
        <v>48400000</v>
      </c>
      <c r="K13" s="22">
        <f>J13/30*$L$5</f>
        <v>58080000</v>
      </c>
      <c r="M13" s="89">
        <f>+D11+M12</f>
        <v>10560000</v>
      </c>
    </row>
    <row r="14" spans="2:16" ht="33" x14ac:dyDescent="0.25">
      <c r="B14" s="72" t="s">
        <v>57</v>
      </c>
      <c r="C14" s="53">
        <v>5</v>
      </c>
      <c r="D14" s="54">
        <f t="shared" si="0"/>
        <v>8800000</v>
      </c>
      <c r="E14" s="73">
        <v>0.08</v>
      </c>
      <c r="F14" s="54">
        <f t="shared" ref="F14" si="3">D14*E14</f>
        <v>704000</v>
      </c>
      <c r="G14" s="20">
        <v>1</v>
      </c>
      <c r="H14" s="56">
        <v>30</v>
      </c>
      <c r="I14" s="54">
        <f>(((((D14+F14)*G14)/30)*H14)/24)*24</f>
        <v>9504000</v>
      </c>
      <c r="J14" s="54">
        <f>C14*I14</f>
        <v>47520000</v>
      </c>
      <c r="K14" s="22">
        <f>J14/30*$L$5</f>
        <v>57024000</v>
      </c>
    </row>
    <row r="15" spans="2:16" ht="19.5" hidden="1" customHeight="1" x14ac:dyDescent="0.25">
      <c r="B15" s="111" t="s">
        <v>43</v>
      </c>
      <c r="C15" s="112"/>
      <c r="D15" s="112"/>
      <c r="E15" s="112"/>
      <c r="F15" s="112"/>
      <c r="G15" s="112"/>
      <c r="H15" s="113"/>
      <c r="I15" s="103" t="s">
        <v>39</v>
      </c>
      <c r="J15" s="104"/>
      <c r="K15" s="105"/>
    </row>
    <row r="16" spans="2:16" ht="22.5" hidden="1" customHeight="1" x14ac:dyDescent="0.25">
      <c r="B16" s="106" t="s">
        <v>24</v>
      </c>
      <c r="C16" s="107">
        <v>1</v>
      </c>
      <c r="D16" s="108">
        <f t="shared" ref="D16" si="4">$J$5</f>
        <v>8800000</v>
      </c>
      <c r="E16" s="109">
        <v>0.1</v>
      </c>
      <c r="F16" s="108">
        <f>E16*D16</f>
        <v>880000</v>
      </c>
      <c r="G16" s="21">
        <v>0.55969999999999998</v>
      </c>
      <c r="H16" s="110">
        <v>20</v>
      </c>
      <c r="I16" s="54">
        <f>(((((D16+F16)*G16)/30)*H16)/15)*15</f>
        <v>3611930.6666666665</v>
      </c>
      <c r="J16" s="54">
        <f>C16*I16</f>
        <v>3611930.6666666665</v>
      </c>
      <c r="K16" s="22">
        <f t="shared" ref="K16:K21" si="5">J16/30*$L$6</f>
        <v>0</v>
      </c>
    </row>
    <row r="17" spans="2:11" ht="22.5" hidden="1" customHeight="1" x14ac:dyDescent="0.25">
      <c r="B17" s="106"/>
      <c r="C17" s="107"/>
      <c r="D17" s="108"/>
      <c r="E17" s="109"/>
      <c r="F17" s="108"/>
      <c r="G17" s="21">
        <v>0.44030000000000002</v>
      </c>
      <c r="H17" s="110"/>
      <c r="I17" s="54">
        <f>(((((D16+F16)*G17)/30)*H16)/9)*1</f>
        <v>315711.40740740742</v>
      </c>
      <c r="J17" s="54">
        <f>C16*I17</f>
        <v>315711.40740740742</v>
      </c>
      <c r="K17" s="22">
        <f t="shared" si="5"/>
        <v>0</v>
      </c>
    </row>
    <row r="18" spans="2:11" ht="24" hidden="1" customHeight="1" x14ac:dyDescent="0.25">
      <c r="B18" s="55" t="s">
        <v>21</v>
      </c>
      <c r="C18" s="50">
        <v>1</v>
      </c>
      <c r="D18" s="4">
        <f>$J$5</f>
        <v>8800000</v>
      </c>
      <c r="E18" s="51">
        <v>0.11</v>
      </c>
      <c r="F18" s="4">
        <f>D18*E18</f>
        <v>968000</v>
      </c>
      <c r="G18" s="3">
        <v>0.55969999999999998</v>
      </c>
      <c r="H18" s="52">
        <v>4</v>
      </c>
      <c r="I18" s="4">
        <f>(((((D18+F18)*G18)/30)*H18)/15)*12</f>
        <v>583162.62399999984</v>
      </c>
      <c r="J18" s="4">
        <f>C18*I18</f>
        <v>583162.62399999984</v>
      </c>
      <c r="K18" s="5">
        <f t="shared" si="5"/>
        <v>0</v>
      </c>
    </row>
    <row r="19" spans="2:11" ht="24" hidden="1" customHeight="1" x14ac:dyDescent="0.25">
      <c r="B19" s="171" t="s">
        <v>25</v>
      </c>
      <c r="C19" s="137">
        <v>1</v>
      </c>
      <c r="D19" s="93">
        <f t="shared" ref="D19" si="6">$J$5</f>
        <v>8800000</v>
      </c>
      <c r="E19" s="138">
        <v>0.11</v>
      </c>
      <c r="F19" s="93">
        <f>E19*D19</f>
        <v>968000</v>
      </c>
      <c r="G19" s="3">
        <v>0.55969999999999998</v>
      </c>
      <c r="H19" s="139">
        <v>20</v>
      </c>
      <c r="I19" s="4">
        <f>(((((D19+F19)*G19)/30)*H19)/15)*15</f>
        <v>3644766.3999999994</v>
      </c>
      <c r="J19" s="4">
        <f>C19*I19</f>
        <v>3644766.3999999994</v>
      </c>
      <c r="K19" s="5">
        <f t="shared" si="5"/>
        <v>0</v>
      </c>
    </row>
    <row r="20" spans="2:11" ht="24" hidden="1" customHeight="1" x14ac:dyDescent="0.25">
      <c r="B20" s="171"/>
      <c r="C20" s="137"/>
      <c r="D20" s="93"/>
      <c r="E20" s="138"/>
      <c r="F20" s="93"/>
      <c r="G20" s="3">
        <v>0.44030000000000002</v>
      </c>
      <c r="H20" s="139"/>
      <c r="I20" s="4">
        <f>(((((D19+F19)*G20)/30)*H19)/9)*1</f>
        <v>318581.51111111115</v>
      </c>
      <c r="J20" s="4">
        <f>C19*I20</f>
        <v>318581.51111111115</v>
      </c>
      <c r="K20" s="5">
        <f t="shared" si="5"/>
        <v>0</v>
      </c>
    </row>
    <row r="21" spans="2:11" ht="24" hidden="1" customHeight="1" thickBot="1" x14ac:dyDescent="0.3">
      <c r="B21" s="43" t="s">
        <v>27</v>
      </c>
      <c r="C21" s="7">
        <v>1</v>
      </c>
      <c r="D21" s="8">
        <f>$J$5</f>
        <v>8800000</v>
      </c>
      <c r="E21" s="9">
        <v>0.11</v>
      </c>
      <c r="F21" s="8">
        <f>D21*E21</f>
        <v>968000</v>
      </c>
      <c r="G21" s="44">
        <v>0.55969999999999998</v>
      </c>
      <c r="H21" s="45">
        <v>4</v>
      </c>
      <c r="I21" s="8">
        <f>(((((D21+F21)*G21)/30)*H21)/15)*12</f>
        <v>583162.62399999984</v>
      </c>
      <c r="J21" s="8">
        <f>C21*I21</f>
        <v>583162.62399999984</v>
      </c>
      <c r="K21" s="46">
        <f t="shared" si="5"/>
        <v>0</v>
      </c>
    </row>
    <row r="22" spans="2:11" ht="21" hidden="1" customHeight="1" x14ac:dyDescent="0.25">
      <c r="B22" s="131" t="s">
        <v>43</v>
      </c>
      <c r="C22" s="132"/>
      <c r="D22" s="132"/>
      <c r="E22" s="132"/>
      <c r="F22" s="132"/>
      <c r="G22" s="132"/>
      <c r="H22" s="133"/>
      <c r="I22" s="134" t="s">
        <v>40</v>
      </c>
      <c r="J22" s="135"/>
      <c r="K22" s="136"/>
    </row>
    <row r="23" spans="2:11" ht="20.25" hidden="1" customHeight="1" x14ac:dyDescent="0.25">
      <c r="B23" s="106" t="s">
        <v>28</v>
      </c>
      <c r="C23" s="137">
        <v>1</v>
      </c>
      <c r="D23" s="93">
        <f t="shared" ref="D23" si="7">$J$5</f>
        <v>8800000</v>
      </c>
      <c r="E23" s="138">
        <v>0.1</v>
      </c>
      <c r="F23" s="93">
        <f>E23*D23</f>
        <v>880000</v>
      </c>
      <c r="G23" s="3">
        <v>0.55969999999999998</v>
      </c>
      <c r="H23" s="139">
        <v>20</v>
      </c>
      <c r="I23" s="4">
        <f>(((((D23+F23)*G23)/30)*H23)/15)*15</f>
        <v>3611930.6666666665</v>
      </c>
      <c r="J23" s="4">
        <f>C23*I23</f>
        <v>3611930.6666666665</v>
      </c>
      <c r="K23" s="22">
        <f>J23/30*$L$6</f>
        <v>0</v>
      </c>
    </row>
    <row r="24" spans="2:11" ht="20.25" hidden="1" customHeight="1" x14ac:dyDescent="0.25">
      <c r="B24" s="106"/>
      <c r="C24" s="137"/>
      <c r="D24" s="93"/>
      <c r="E24" s="138"/>
      <c r="F24" s="93"/>
      <c r="G24" s="3">
        <v>0.44030000000000002</v>
      </c>
      <c r="H24" s="139"/>
      <c r="I24" s="4">
        <f>(((((D23+F23)*G24)/30)*H23)/9)*1</f>
        <v>315711.40740740742</v>
      </c>
      <c r="J24" s="4">
        <f>C23*I24</f>
        <v>315711.40740740742</v>
      </c>
      <c r="K24" s="22">
        <f>J24/30*$L$6</f>
        <v>0</v>
      </c>
    </row>
    <row r="25" spans="2:11" ht="30.75" hidden="1" customHeight="1" thickBot="1" x14ac:dyDescent="0.3">
      <c r="B25" s="43" t="s">
        <v>29</v>
      </c>
      <c r="C25" s="7">
        <v>1</v>
      </c>
      <c r="D25" s="8">
        <f>$J$5</f>
        <v>8800000</v>
      </c>
      <c r="E25" s="9">
        <v>0.11</v>
      </c>
      <c r="F25" s="8">
        <f>D25*E25</f>
        <v>968000</v>
      </c>
      <c r="G25" s="44">
        <v>0.55969999999999998</v>
      </c>
      <c r="H25" s="45">
        <v>4</v>
      </c>
      <c r="I25" s="8">
        <f>(((((D25+F25)*G25)/30)*H25)/15)*12</f>
        <v>583162.62399999984</v>
      </c>
      <c r="J25" s="8">
        <f t="shared" ref="J25" si="8">C25*I25</f>
        <v>583162.62399999984</v>
      </c>
      <c r="K25" s="24">
        <f>J25/30*$L$6</f>
        <v>0</v>
      </c>
    </row>
    <row r="26" spans="2:11" x14ac:dyDescent="0.25">
      <c r="B26" s="174" t="s">
        <v>13</v>
      </c>
      <c r="C26" s="175"/>
      <c r="D26" s="175"/>
      <c r="E26" s="175"/>
      <c r="F26" s="175"/>
      <c r="G26" s="175"/>
      <c r="H26" s="175"/>
      <c r="I26" s="175"/>
      <c r="J26" s="176"/>
      <c r="K26" s="25">
        <f>+SUM(K11:K25)</f>
        <v>138230400</v>
      </c>
    </row>
    <row r="27" spans="2:11" x14ac:dyDescent="0.25">
      <c r="B27" s="99" t="s">
        <v>14</v>
      </c>
      <c r="C27" s="100"/>
      <c r="D27" s="100"/>
      <c r="E27" s="100"/>
      <c r="F27" s="100"/>
      <c r="G27" s="100"/>
      <c r="H27" s="100"/>
      <c r="I27" s="100"/>
      <c r="J27" s="100"/>
      <c r="K27" s="26">
        <f>K26*10%</f>
        <v>13823040</v>
      </c>
    </row>
    <row r="28" spans="2:11" x14ac:dyDescent="0.25">
      <c r="B28" s="99" t="s">
        <v>15</v>
      </c>
      <c r="C28" s="100"/>
      <c r="D28" s="100"/>
      <c r="E28" s="100"/>
      <c r="F28" s="100"/>
      <c r="G28" s="100"/>
      <c r="H28" s="100"/>
      <c r="I28" s="100"/>
      <c r="J28" s="100"/>
      <c r="K28" s="26">
        <f>K27*19%</f>
        <v>2626377.6</v>
      </c>
    </row>
    <row r="29" spans="2:11" x14ac:dyDescent="0.25">
      <c r="B29" s="101" t="s">
        <v>35</v>
      </c>
      <c r="C29" s="102"/>
      <c r="D29" s="102"/>
      <c r="E29" s="102"/>
      <c r="F29" s="102"/>
      <c r="G29" s="102"/>
      <c r="H29" s="102"/>
      <c r="I29" s="102"/>
      <c r="J29" s="102"/>
      <c r="K29" s="27">
        <f>K26+K28</f>
        <v>140856777.59999999</v>
      </c>
    </row>
    <row r="30" spans="2:11" ht="33" customHeight="1" x14ac:dyDescent="0.25">
      <c r="B30" s="140" t="s">
        <v>16</v>
      </c>
      <c r="C30" s="95" t="s">
        <v>41</v>
      </c>
      <c r="D30" s="96"/>
      <c r="E30" s="67">
        <v>4</v>
      </c>
      <c r="F30" s="68" t="s">
        <v>18</v>
      </c>
      <c r="G30" s="69">
        <v>200000</v>
      </c>
      <c r="H30" s="68" t="s">
        <v>17</v>
      </c>
      <c r="I30" s="69">
        <f>E30*G30</f>
        <v>800000</v>
      </c>
      <c r="J30" s="68" t="s">
        <v>120</v>
      </c>
      <c r="K30" s="70">
        <f>(I30/30)*36</f>
        <v>960000</v>
      </c>
    </row>
    <row r="31" spans="2:11" ht="46.5" customHeight="1" x14ac:dyDescent="0.25">
      <c r="B31" s="141"/>
      <c r="C31" s="97" t="s">
        <v>42</v>
      </c>
      <c r="D31" s="98"/>
      <c r="E31" s="10">
        <v>2</v>
      </c>
      <c r="F31" s="10" t="s">
        <v>18</v>
      </c>
      <c r="G31" s="4">
        <v>50000</v>
      </c>
      <c r="H31" s="10" t="s">
        <v>17</v>
      </c>
      <c r="I31" s="4">
        <f>E31*G31</f>
        <v>100000</v>
      </c>
      <c r="J31" s="68" t="s">
        <v>121</v>
      </c>
      <c r="K31" s="70">
        <f>(I31/30)*36</f>
        <v>120000</v>
      </c>
    </row>
    <row r="32" spans="2:11" x14ac:dyDescent="0.25">
      <c r="B32" s="99" t="s">
        <v>123</v>
      </c>
      <c r="C32" s="100"/>
      <c r="D32" s="100"/>
      <c r="E32" s="100"/>
      <c r="F32" s="100"/>
      <c r="G32" s="100"/>
      <c r="H32" s="100"/>
      <c r="I32" s="100"/>
      <c r="J32" s="100"/>
      <c r="K32" s="26">
        <f>SUM(K30:K31)</f>
        <v>1080000</v>
      </c>
    </row>
    <row r="33" spans="2:13" ht="15.75" thickBot="1" x14ac:dyDescent="0.3">
      <c r="B33" s="142" t="s">
        <v>34</v>
      </c>
      <c r="C33" s="143"/>
      <c r="D33" s="143"/>
      <c r="E33" s="143"/>
      <c r="F33" s="143"/>
      <c r="G33" s="143"/>
      <c r="H33" s="143"/>
      <c r="I33" s="143"/>
      <c r="J33" s="143"/>
      <c r="K33" s="28">
        <f>K29+K32</f>
        <v>141936777.59999999</v>
      </c>
      <c r="M33" s="48"/>
    </row>
    <row r="34" spans="2:13" x14ac:dyDescent="0.25">
      <c r="B34" s="2"/>
      <c r="C34" s="2"/>
      <c r="D34" s="2"/>
      <c r="E34" s="2"/>
      <c r="F34" s="2"/>
      <c r="G34" s="2"/>
      <c r="H34" s="2"/>
      <c r="I34" s="2"/>
      <c r="J34" s="2"/>
      <c r="K34" s="47"/>
    </row>
    <row r="35" spans="2:13" ht="3" customHeight="1" thickBot="1" x14ac:dyDescent="0.3">
      <c r="B35" s="41"/>
      <c r="C35" s="2"/>
      <c r="D35" s="2"/>
      <c r="E35" s="2"/>
      <c r="F35" s="2"/>
      <c r="G35" s="2"/>
      <c r="H35" s="2"/>
      <c r="I35" s="2"/>
      <c r="J35" s="2"/>
    </row>
    <row r="36" spans="2:13" ht="15.75" x14ac:dyDescent="0.25">
      <c r="B36" s="41"/>
      <c r="C36" s="2"/>
      <c r="D36" s="2"/>
      <c r="E36" s="2"/>
      <c r="F36" s="177" t="s">
        <v>31</v>
      </c>
      <c r="G36" s="178"/>
      <c r="H36" s="178"/>
      <c r="I36" s="178"/>
      <c r="J36" s="179"/>
      <c r="K36" s="11"/>
    </row>
    <row r="37" spans="2:13" x14ac:dyDescent="0.25">
      <c r="B37" s="41"/>
      <c r="C37" s="2"/>
      <c r="D37" s="2"/>
      <c r="E37" s="2"/>
      <c r="F37" s="59"/>
      <c r="G37" s="29" t="s">
        <v>19</v>
      </c>
      <c r="H37" s="29" t="s">
        <v>0</v>
      </c>
      <c r="I37" s="29" t="s">
        <v>1</v>
      </c>
      <c r="J37" s="60" t="s">
        <v>2</v>
      </c>
      <c r="K37" s="11"/>
    </row>
    <row r="38" spans="2:13" x14ac:dyDescent="0.25">
      <c r="B38" s="41"/>
      <c r="C38" s="2"/>
      <c r="D38" s="2"/>
      <c r="E38" s="2"/>
      <c r="F38" s="61" t="s">
        <v>47</v>
      </c>
      <c r="G38" s="30"/>
      <c r="H38" s="31">
        <f>H5</f>
        <v>1000000</v>
      </c>
      <c r="I38" s="32">
        <v>8.8000000000000007</v>
      </c>
      <c r="J38" s="62">
        <f>H38*I38</f>
        <v>8800000</v>
      </c>
      <c r="K38" s="11"/>
    </row>
    <row r="39" spans="2:13" ht="15.75" thickBot="1" x14ac:dyDescent="0.3">
      <c r="B39" s="41"/>
      <c r="C39" s="2"/>
      <c r="D39" s="2"/>
      <c r="E39" s="2"/>
      <c r="F39" s="63" t="s">
        <v>48</v>
      </c>
      <c r="G39" s="64">
        <v>0.2</v>
      </c>
      <c r="H39" s="17">
        <f>H38*(1+G39)</f>
        <v>1200000</v>
      </c>
      <c r="I39" s="18">
        <v>8.8000000000000007</v>
      </c>
      <c r="J39" s="19">
        <f>H39*I39</f>
        <v>10560000</v>
      </c>
      <c r="K39" s="11"/>
    </row>
    <row r="40" spans="2:13" ht="11.25" customHeight="1" thickBot="1" x14ac:dyDescent="0.3">
      <c r="B40" s="41"/>
      <c r="C40" s="2"/>
      <c r="D40" s="2"/>
      <c r="E40" s="2"/>
      <c r="F40" s="2"/>
      <c r="G40" s="2"/>
      <c r="H40" s="2"/>
      <c r="I40" s="2"/>
      <c r="J40" s="2"/>
      <c r="K40" s="11"/>
    </row>
    <row r="41" spans="2:13" s="57" customFormat="1" ht="15.75" x14ac:dyDescent="0.25">
      <c r="B41" s="128">
        <v>2023</v>
      </c>
      <c r="C41" s="129"/>
      <c r="D41" s="129"/>
      <c r="E41" s="129"/>
      <c r="F41" s="129"/>
      <c r="G41" s="129"/>
      <c r="H41" s="129"/>
      <c r="I41" s="129"/>
      <c r="J41" s="129"/>
      <c r="K41" s="130"/>
    </row>
    <row r="42" spans="2:13" ht="30" customHeight="1" x14ac:dyDescent="0.25">
      <c r="B42" s="167" t="s">
        <v>45</v>
      </c>
      <c r="C42" s="168"/>
      <c r="D42" s="168"/>
      <c r="E42" s="168"/>
      <c r="F42" s="168"/>
      <c r="G42" s="168"/>
      <c r="H42" s="168"/>
      <c r="I42" s="168"/>
      <c r="J42" s="168"/>
      <c r="K42" s="169"/>
    </row>
    <row r="43" spans="2:13" ht="57.75" x14ac:dyDescent="0.25">
      <c r="B43" s="42" t="s">
        <v>3</v>
      </c>
      <c r="C43" s="42" t="s">
        <v>4</v>
      </c>
      <c r="D43" s="42" t="s">
        <v>20</v>
      </c>
      <c r="E43" s="42" t="s">
        <v>6</v>
      </c>
      <c r="F43" s="42" t="s">
        <v>7</v>
      </c>
      <c r="G43" s="42" t="s">
        <v>8</v>
      </c>
      <c r="H43" s="42" t="s">
        <v>9</v>
      </c>
      <c r="I43" s="42" t="s">
        <v>10</v>
      </c>
      <c r="J43" s="42" t="s">
        <v>11</v>
      </c>
      <c r="K43" s="42" t="s">
        <v>12</v>
      </c>
    </row>
    <row r="44" spans="2:13" x14ac:dyDescent="0.25">
      <c r="B44" s="170" t="s">
        <v>106</v>
      </c>
      <c r="C44" s="165"/>
      <c r="D44" s="165"/>
      <c r="E44" s="165"/>
      <c r="F44" s="165"/>
      <c r="G44" s="165"/>
      <c r="H44" s="165"/>
      <c r="I44" s="165"/>
      <c r="J44" s="165"/>
      <c r="K44" s="166"/>
    </row>
    <row r="45" spans="2:13" ht="15.75" customHeight="1" x14ac:dyDescent="0.25">
      <c r="B45" s="172" t="s">
        <v>51</v>
      </c>
      <c r="C45" s="173"/>
      <c r="D45" s="173"/>
      <c r="E45" s="173"/>
      <c r="F45" s="173"/>
      <c r="G45" s="173"/>
      <c r="H45" s="173"/>
      <c r="I45" s="165" t="s">
        <v>52</v>
      </c>
      <c r="J45" s="165"/>
      <c r="K45" s="166"/>
    </row>
    <row r="46" spans="2:13" ht="49.5" x14ac:dyDescent="0.25">
      <c r="B46" s="72" t="s">
        <v>56</v>
      </c>
      <c r="C46" s="53">
        <v>1</v>
      </c>
      <c r="D46" s="54">
        <f>+M$13</f>
        <v>10560000</v>
      </c>
      <c r="E46" s="73">
        <v>0.08</v>
      </c>
      <c r="F46" s="54">
        <f t="shared" ref="F46" si="9">D46*E46</f>
        <v>844800</v>
      </c>
      <c r="G46" s="20">
        <v>1</v>
      </c>
      <c r="H46" s="56">
        <v>30</v>
      </c>
      <c r="I46" s="54">
        <f>(((((D46+F46)*G46)/30)*H46)/24)*24</f>
        <v>11404800</v>
      </c>
      <c r="J46" s="54">
        <f>C46*I46</f>
        <v>11404800</v>
      </c>
      <c r="K46" s="22">
        <f>J46/30*$M$5</f>
        <v>123171840</v>
      </c>
    </row>
    <row r="47" spans="2:13" ht="41.25" x14ac:dyDescent="0.25">
      <c r="B47" s="72" t="s">
        <v>22</v>
      </c>
      <c r="C47" s="53">
        <v>1</v>
      </c>
      <c r="D47" s="54">
        <f t="shared" ref="D47:D49" si="10">+M$13</f>
        <v>10560000</v>
      </c>
      <c r="E47" s="73">
        <v>0.11</v>
      </c>
      <c r="F47" s="54">
        <f>D47*E47</f>
        <v>1161600</v>
      </c>
      <c r="G47" s="20">
        <v>1</v>
      </c>
      <c r="H47" s="56">
        <v>30</v>
      </c>
      <c r="I47" s="54">
        <f>(((((D47+F47)*G47)/30)*H47)/24)*24</f>
        <v>11721600</v>
      </c>
      <c r="J47" s="54">
        <f>C47*I47</f>
        <v>11721600</v>
      </c>
      <c r="K47" s="22">
        <f t="shared" ref="K47:K49" si="11">J47/30*$M$5</f>
        <v>126593280</v>
      </c>
      <c r="L47" s="48"/>
      <c r="M47" s="48"/>
    </row>
    <row r="48" spans="2:13" ht="33" x14ac:dyDescent="0.25">
      <c r="B48" s="72" t="s">
        <v>23</v>
      </c>
      <c r="C48" s="53">
        <v>5</v>
      </c>
      <c r="D48" s="54">
        <f t="shared" si="10"/>
        <v>10560000</v>
      </c>
      <c r="E48" s="73">
        <v>0.1</v>
      </c>
      <c r="F48" s="54">
        <f t="shared" ref="F48:F49" si="12">D48*E48</f>
        <v>1056000</v>
      </c>
      <c r="G48" s="20">
        <v>1</v>
      </c>
      <c r="H48" s="56">
        <v>30</v>
      </c>
      <c r="I48" s="54">
        <f>(((((D48+F48)*G48)/30)*H48)/24)*24</f>
        <v>11616000</v>
      </c>
      <c r="J48" s="54">
        <f>C48*I48</f>
        <v>58080000</v>
      </c>
      <c r="K48" s="22">
        <f t="shared" si="11"/>
        <v>627264000</v>
      </c>
      <c r="M48" s="48"/>
    </row>
    <row r="49" spans="2:17" ht="33" x14ac:dyDescent="0.25">
      <c r="B49" s="72" t="s">
        <v>57</v>
      </c>
      <c r="C49" s="53">
        <v>5</v>
      </c>
      <c r="D49" s="54">
        <f t="shared" si="10"/>
        <v>10560000</v>
      </c>
      <c r="E49" s="73">
        <v>0.08</v>
      </c>
      <c r="F49" s="54">
        <f t="shared" si="12"/>
        <v>844800</v>
      </c>
      <c r="G49" s="20">
        <v>1</v>
      </c>
      <c r="H49" s="56">
        <v>30</v>
      </c>
      <c r="I49" s="54">
        <f>(((((D49+F49)*G49)/30)*H49)/24)*24</f>
        <v>11404800</v>
      </c>
      <c r="J49" s="54">
        <f>C49*I49</f>
        <v>57024000</v>
      </c>
      <c r="K49" s="22">
        <f t="shared" si="11"/>
        <v>615859200</v>
      </c>
      <c r="M49" s="48"/>
    </row>
    <row r="50" spans="2:17" ht="21.75" customHeight="1" thickBot="1" x14ac:dyDescent="0.3">
      <c r="B50" s="149" t="s">
        <v>53</v>
      </c>
      <c r="C50" s="150"/>
      <c r="D50" s="150"/>
      <c r="E50" s="150"/>
      <c r="F50" s="150"/>
      <c r="G50" s="150"/>
      <c r="H50" s="150"/>
      <c r="I50" s="151" t="s">
        <v>54</v>
      </c>
      <c r="J50" s="151"/>
      <c r="K50" s="152"/>
    </row>
    <row r="51" spans="2:17" ht="24" customHeight="1" x14ac:dyDescent="0.25">
      <c r="B51" s="153" t="s">
        <v>117</v>
      </c>
      <c r="C51" s="155">
        <v>1</v>
      </c>
      <c r="D51" s="156">
        <f>+D46</f>
        <v>10560000</v>
      </c>
      <c r="E51" s="158">
        <v>0.08</v>
      </c>
      <c r="F51" s="156">
        <f>E51*D51</f>
        <v>844800</v>
      </c>
      <c r="G51" s="66">
        <v>0.55969999999999998</v>
      </c>
      <c r="H51" s="163">
        <v>24</v>
      </c>
      <c r="I51" s="6">
        <f>(((((D51+F51)*G51)/30)*H51)/15)*15</f>
        <v>5106613.2479999997</v>
      </c>
      <c r="J51" s="6">
        <f>C51*I51</f>
        <v>5106613.2479999997</v>
      </c>
      <c r="K51" s="23">
        <f>J51/30*$M$6</f>
        <v>45278637.465599999</v>
      </c>
    </row>
    <row r="52" spans="2:17" ht="24" customHeight="1" x14ac:dyDescent="0.25">
      <c r="B52" s="154"/>
      <c r="C52" s="137"/>
      <c r="D52" s="157"/>
      <c r="E52" s="159"/>
      <c r="F52" s="157"/>
      <c r="G52" s="3">
        <v>0.44030000000000002</v>
      </c>
      <c r="H52" s="164"/>
      <c r="I52" s="4">
        <f>(((((D51+F51)*G52)/30)*H51)/9)*1</f>
        <v>446358.52800000005</v>
      </c>
      <c r="J52" s="4">
        <f>C51*I52</f>
        <v>446358.52800000005</v>
      </c>
      <c r="K52" s="22">
        <f>J52/30*$M$6</f>
        <v>3957712.2816000003</v>
      </c>
      <c r="M52" s="48"/>
    </row>
    <row r="53" spans="2:17" ht="24.6" customHeight="1" x14ac:dyDescent="0.25">
      <c r="B53" s="55" t="s">
        <v>115</v>
      </c>
      <c r="C53" s="91">
        <v>6</v>
      </c>
      <c r="D53" s="54">
        <f>+D51</f>
        <v>10560000</v>
      </c>
      <c r="E53" s="51">
        <v>0.08</v>
      </c>
      <c r="F53" s="4">
        <f>D53*E53</f>
        <v>844800</v>
      </c>
      <c r="G53" s="3">
        <v>1</v>
      </c>
      <c r="H53" s="87">
        <v>20</v>
      </c>
      <c r="I53" s="4">
        <f>(((((D53+F53)*G53)/30)*H53)/15)*12</f>
        <v>6082560</v>
      </c>
      <c r="J53" s="4">
        <f t="shared" ref="J53" si="13">C53*I53</f>
        <v>36495360</v>
      </c>
      <c r="K53" s="22">
        <f>J53/30*$M$6</f>
        <v>323592192</v>
      </c>
      <c r="M53" s="48"/>
    </row>
    <row r="54" spans="2:17" ht="24" customHeight="1" x14ac:dyDescent="0.25">
      <c r="B54" s="162" t="s">
        <v>116</v>
      </c>
      <c r="C54" s="137">
        <v>1</v>
      </c>
      <c r="D54" s="93">
        <f>+D51</f>
        <v>10560000</v>
      </c>
      <c r="E54" s="138">
        <v>0.11</v>
      </c>
      <c r="F54" s="93">
        <f>E54*D54</f>
        <v>1161600</v>
      </c>
      <c r="G54" s="21">
        <v>0.55969999999999998</v>
      </c>
      <c r="H54" s="94">
        <v>24</v>
      </c>
      <c r="I54" s="54">
        <f>(((((D54+F54)*G54)/30)*H54)/15)*15</f>
        <v>5248463.6160000004</v>
      </c>
      <c r="J54" s="54">
        <f>C54*I54</f>
        <v>5248463.6160000004</v>
      </c>
      <c r="K54" s="88">
        <f>J54/30*$M$6</f>
        <v>46536377.395200007</v>
      </c>
      <c r="M54" s="48"/>
    </row>
    <row r="55" spans="2:17" ht="24" customHeight="1" x14ac:dyDescent="0.25">
      <c r="B55" s="162"/>
      <c r="C55" s="137"/>
      <c r="D55" s="93"/>
      <c r="E55" s="138"/>
      <c r="F55" s="93"/>
      <c r="G55" s="21">
        <v>0.44030000000000002</v>
      </c>
      <c r="H55" s="94"/>
      <c r="I55" s="54">
        <f>(((((D54+F54)*G55)/30)*H54)/9)*1</f>
        <v>458757.37599999999</v>
      </c>
      <c r="J55" s="54">
        <f>C54*I55</f>
        <v>458757.37599999999</v>
      </c>
      <c r="K55" s="88">
        <f>J55/30*$M$6</f>
        <v>4067648.7338666664</v>
      </c>
    </row>
    <row r="56" spans="2:17" x14ac:dyDescent="0.25">
      <c r="B56" s="146" t="s">
        <v>33</v>
      </c>
      <c r="C56" s="147"/>
      <c r="D56" s="147"/>
      <c r="E56" s="147"/>
      <c r="F56" s="147"/>
      <c r="G56" s="147"/>
      <c r="H56" s="147"/>
      <c r="I56" s="147"/>
      <c r="J56" s="148"/>
      <c r="K56" s="58">
        <f>+(SUM(K46:K49)+SUM(K51:K55))</f>
        <v>1916320887.8762667</v>
      </c>
      <c r="N56" s="48"/>
      <c r="O56" s="48"/>
      <c r="P56" s="48"/>
      <c r="Q56" s="48">
        <f>N56+P56</f>
        <v>0</v>
      </c>
    </row>
    <row r="57" spans="2:17" x14ac:dyDescent="0.25">
      <c r="B57" s="99" t="s">
        <v>14</v>
      </c>
      <c r="C57" s="100"/>
      <c r="D57" s="100"/>
      <c r="E57" s="100"/>
      <c r="F57" s="100"/>
      <c r="G57" s="100"/>
      <c r="H57" s="100"/>
      <c r="I57" s="100"/>
      <c r="J57" s="100"/>
      <c r="K57" s="26">
        <f>K56*10%</f>
        <v>191632088.78762668</v>
      </c>
      <c r="N57" s="48"/>
      <c r="O57" s="48"/>
      <c r="P57" s="48"/>
      <c r="Q57" s="48">
        <f>N57+P57</f>
        <v>0</v>
      </c>
    </row>
    <row r="58" spans="2:17" x14ac:dyDescent="0.25">
      <c r="B58" s="99" t="s">
        <v>15</v>
      </c>
      <c r="C58" s="100"/>
      <c r="D58" s="100"/>
      <c r="E58" s="100"/>
      <c r="F58" s="100"/>
      <c r="G58" s="100"/>
      <c r="H58" s="100"/>
      <c r="I58" s="100"/>
      <c r="J58" s="100"/>
      <c r="K58" s="26">
        <f>K57*19%</f>
        <v>36410096.869649068</v>
      </c>
      <c r="N58" s="48"/>
      <c r="O58" s="48"/>
      <c r="P58" s="48"/>
      <c r="Q58" s="48">
        <f>N58+P58</f>
        <v>0</v>
      </c>
    </row>
    <row r="59" spans="2:17" x14ac:dyDescent="0.25">
      <c r="B59" s="101" t="s">
        <v>32</v>
      </c>
      <c r="C59" s="102"/>
      <c r="D59" s="102"/>
      <c r="E59" s="102"/>
      <c r="F59" s="102"/>
      <c r="G59" s="102"/>
      <c r="H59" s="102"/>
      <c r="I59" s="102"/>
      <c r="J59" s="102"/>
      <c r="K59" s="27">
        <f>K56+K58</f>
        <v>1952730984.7459159</v>
      </c>
      <c r="N59" s="48"/>
      <c r="Q59" s="48">
        <f>N59</f>
        <v>0</v>
      </c>
    </row>
    <row r="60" spans="2:17" ht="49.5" customHeight="1" x14ac:dyDescent="0.25">
      <c r="B60" s="140" t="s">
        <v>16</v>
      </c>
      <c r="C60" s="95" t="s">
        <v>41</v>
      </c>
      <c r="D60" s="96"/>
      <c r="E60" s="92">
        <v>3</v>
      </c>
      <c r="F60" s="68" t="s">
        <v>18</v>
      </c>
      <c r="G60" s="69">
        <v>200000</v>
      </c>
      <c r="H60" s="68" t="s">
        <v>17</v>
      </c>
      <c r="I60" s="69">
        <f>E60*G60</f>
        <v>600000</v>
      </c>
      <c r="J60" s="68" t="s">
        <v>119</v>
      </c>
      <c r="K60" s="70">
        <f>(I60/30)*M5</f>
        <v>6480000</v>
      </c>
    </row>
    <row r="61" spans="2:17" ht="56.25" customHeight="1" x14ac:dyDescent="0.25">
      <c r="B61" s="141"/>
      <c r="C61" s="97" t="s">
        <v>42</v>
      </c>
      <c r="D61" s="98"/>
      <c r="E61" s="10">
        <v>2</v>
      </c>
      <c r="F61" s="10" t="s">
        <v>18</v>
      </c>
      <c r="G61" s="4">
        <v>50000</v>
      </c>
      <c r="H61" s="10" t="s">
        <v>17</v>
      </c>
      <c r="I61" s="4">
        <f>E61*G61</f>
        <v>100000</v>
      </c>
      <c r="J61" s="68" t="s">
        <v>122</v>
      </c>
      <c r="K61" s="70">
        <f>(I61/30)*M5</f>
        <v>1080000</v>
      </c>
    </row>
    <row r="62" spans="2:17" x14ac:dyDescent="0.25">
      <c r="B62" s="99" t="s">
        <v>124</v>
      </c>
      <c r="C62" s="100"/>
      <c r="D62" s="100"/>
      <c r="E62" s="100"/>
      <c r="F62" s="100"/>
      <c r="G62" s="100"/>
      <c r="H62" s="100"/>
      <c r="I62" s="100"/>
      <c r="J62" s="100"/>
      <c r="K62" s="26">
        <f>SUM(K60:K61)</f>
        <v>7560000</v>
      </c>
    </row>
    <row r="63" spans="2:17" ht="15.75" thickBot="1" x14ac:dyDescent="0.3">
      <c r="B63" s="160" t="s">
        <v>118</v>
      </c>
      <c r="C63" s="161"/>
      <c r="D63" s="161"/>
      <c r="E63" s="161"/>
      <c r="F63" s="161"/>
      <c r="G63" s="161"/>
      <c r="H63" s="161"/>
      <c r="I63" s="161"/>
      <c r="J63" s="161"/>
      <c r="K63" s="28">
        <f>K59+K62</f>
        <v>1960290984.7459159</v>
      </c>
      <c r="L63" s="48"/>
      <c r="M63" s="48"/>
    </row>
    <row r="64" spans="2:17" ht="15.75" thickBot="1" x14ac:dyDescent="0.3">
      <c r="B64" s="144" t="s">
        <v>44</v>
      </c>
      <c r="C64" s="145"/>
      <c r="D64" s="145"/>
      <c r="E64" s="145"/>
      <c r="F64" s="145"/>
      <c r="G64" s="145"/>
      <c r="H64" s="145"/>
      <c r="I64" s="145"/>
      <c r="J64" s="145"/>
      <c r="K64" s="39">
        <f>+K63+K33</f>
        <v>2102227762.3459158</v>
      </c>
      <c r="L64" s="33">
        <v>2102227762</v>
      </c>
      <c r="Q64" s="48">
        <f>SUM(Q56:Q59)</f>
        <v>0</v>
      </c>
    </row>
    <row r="65" spans="2:11" x14ac:dyDescent="0.25">
      <c r="J65" s="33"/>
      <c r="K65" s="33"/>
    </row>
    <row r="66" spans="2:11" x14ac:dyDescent="0.25">
      <c r="K66" s="33">
        <v>2103227762</v>
      </c>
    </row>
    <row r="67" spans="2:11" x14ac:dyDescent="0.25">
      <c r="B67"/>
      <c r="C67"/>
      <c r="D67"/>
      <c r="E67"/>
      <c r="F67"/>
      <c r="G67"/>
      <c r="H67"/>
      <c r="I67"/>
      <c r="K67" s="34"/>
    </row>
    <row r="69" spans="2:11" x14ac:dyDescent="0.25">
      <c r="B69"/>
      <c r="C69"/>
      <c r="D69"/>
      <c r="E69"/>
      <c r="F69"/>
      <c r="G69"/>
      <c r="H69"/>
      <c r="I69"/>
      <c r="K69" s="34"/>
    </row>
  </sheetData>
  <mergeCells count="66">
    <mergeCell ref="I45:K45"/>
    <mergeCell ref="H19:H20"/>
    <mergeCell ref="B57:J57"/>
    <mergeCell ref="B58:J58"/>
    <mergeCell ref="B42:K42"/>
    <mergeCell ref="B44:K44"/>
    <mergeCell ref="B19:B20"/>
    <mergeCell ref="C19:C20"/>
    <mergeCell ref="D19:D20"/>
    <mergeCell ref="E19:E20"/>
    <mergeCell ref="F19:F20"/>
    <mergeCell ref="B45:H45"/>
    <mergeCell ref="B26:J26"/>
    <mergeCell ref="B27:J27"/>
    <mergeCell ref="B28:J28"/>
    <mergeCell ref="F36:J36"/>
    <mergeCell ref="B64:J64"/>
    <mergeCell ref="B60:B61"/>
    <mergeCell ref="B56:J56"/>
    <mergeCell ref="B50:H50"/>
    <mergeCell ref="I50:K50"/>
    <mergeCell ref="B51:B52"/>
    <mergeCell ref="C51:C52"/>
    <mergeCell ref="D51:D52"/>
    <mergeCell ref="E51:E52"/>
    <mergeCell ref="F51:F52"/>
    <mergeCell ref="B63:J63"/>
    <mergeCell ref="B54:B55"/>
    <mergeCell ref="C54:C55"/>
    <mergeCell ref="D54:D55"/>
    <mergeCell ref="E54:E55"/>
    <mergeCell ref="H51:H52"/>
    <mergeCell ref="B41:K41"/>
    <mergeCell ref="B22:H22"/>
    <mergeCell ref="I22:K22"/>
    <mergeCell ref="B23:B24"/>
    <mergeCell ref="C23:C24"/>
    <mergeCell ref="D23:D24"/>
    <mergeCell ref="E23:E24"/>
    <mergeCell ref="F23:F24"/>
    <mergeCell ref="H23:H24"/>
    <mergeCell ref="B29:J29"/>
    <mergeCell ref="C31:D31"/>
    <mergeCell ref="B30:B31"/>
    <mergeCell ref="C30:D30"/>
    <mergeCell ref="B33:J33"/>
    <mergeCell ref="B32:J32"/>
    <mergeCell ref="F3:J3"/>
    <mergeCell ref="B7:K7"/>
    <mergeCell ref="B9:K9"/>
    <mergeCell ref="B10:H10"/>
    <mergeCell ref="I10:K10"/>
    <mergeCell ref="I15:K15"/>
    <mergeCell ref="B16:B17"/>
    <mergeCell ref="C16:C17"/>
    <mergeCell ref="D16:D17"/>
    <mergeCell ref="E16:E17"/>
    <mergeCell ref="F16:F17"/>
    <mergeCell ref="H16:H17"/>
    <mergeCell ref="B15:H15"/>
    <mergeCell ref="F54:F55"/>
    <mergeCell ref="H54:H55"/>
    <mergeCell ref="C60:D60"/>
    <mergeCell ref="C61:D61"/>
    <mergeCell ref="B62:J62"/>
    <mergeCell ref="B59:J59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opLeftCell="A19" zoomScale="115" zoomScaleNormal="115" workbookViewId="0">
      <selection activeCell="B2" sqref="B2:G31"/>
    </sheetView>
  </sheetViews>
  <sheetFormatPr baseColWidth="10" defaultRowHeight="15" x14ac:dyDescent="0.25"/>
  <cols>
    <col min="2" max="2" width="14" customWidth="1"/>
    <col min="3" max="3" width="16.28515625" customWidth="1"/>
    <col min="4" max="4" width="15.42578125" customWidth="1"/>
  </cols>
  <sheetData>
    <row r="1" spans="2:7" ht="15.75" thickBot="1" x14ac:dyDescent="0.3"/>
    <row r="2" spans="2:7" ht="15" customHeight="1" thickBot="1" x14ac:dyDescent="0.3">
      <c r="B2" s="183" t="s">
        <v>106</v>
      </c>
      <c r="C2" s="184"/>
      <c r="D2" s="184"/>
      <c r="E2" s="184"/>
      <c r="F2" s="184"/>
      <c r="G2" s="185"/>
    </row>
    <row r="3" spans="2:7" ht="15" customHeight="1" thickBot="1" x14ac:dyDescent="0.3">
      <c r="B3" s="183" t="s">
        <v>102</v>
      </c>
      <c r="C3" s="184"/>
      <c r="D3" s="184"/>
      <c r="E3" s="184"/>
      <c r="F3" s="184"/>
      <c r="G3" s="185"/>
    </row>
    <row r="4" spans="2:7" ht="15.75" thickBot="1" x14ac:dyDescent="0.3">
      <c r="B4" s="82" t="s">
        <v>80</v>
      </c>
      <c r="C4" s="81" t="s">
        <v>79</v>
      </c>
      <c r="D4" s="81" t="s">
        <v>78</v>
      </c>
      <c r="E4" s="81" t="s">
        <v>77</v>
      </c>
      <c r="F4" s="81" t="s">
        <v>76</v>
      </c>
      <c r="G4" s="80" t="s">
        <v>75</v>
      </c>
    </row>
    <row r="5" spans="2:7" ht="23.25" thickBot="1" x14ac:dyDescent="0.3">
      <c r="B5" s="79" t="s">
        <v>61</v>
      </c>
      <c r="C5" s="78" t="s">
        <v>101</v>
      </c>
      <c r="D5" s="77" t="s">
        <v>82</v>
      </c>
      <c r="E5" s="77">
        <v>24</v>
      </c>
      <c r="F5" s="77" t="s">
        <v>58</v>
      </c>
      <c r="G5" s="77">
        <v>1</v>
      </c>
    </row>
    <row r="6" spans="2:7" ht="23.25" thickBot="1" x14ac:dyDescent="0.3">
      <c r="B6" s="79" t="s">
        <v>100</v>
      </c>
      <c r="C6" s="78" t="s">
        <v>99</v>
      </c>
      <c r="D6" s="77" t="s">
        <v>82</v>
      </c>
      <c r="E6" s="77">
        <v>24</v>
      </c>
      <c r="F6" s="77" t="s">
        <v>58</v>
      </c>
      <c r="G6" s="77">
        <v>1</v>
      </c>
    </row>
    <row r="7" spans="2:7" ht="31.15" customHeight="1" thickBot="1" x14ac:dyDescent="0.3">
      <c r="B7" s="79" t="s">
        <v>98</v>
      </c>
      <c r="C7" s="78" t="s">
        <v>97</v>
      </c>
      <c r="D7" s="77" t="s">
        <v>82</v>
      </c>
      <c r="E7" s="77">
        <v>24</v>
      </c>
      <c r="F7" s="77" t="s">
        <v>58</v>
      </c>
      <c r="G7" s="77">
        <v>1</v>
      </c>
    </row>
    <row r="8" spans="2:7" ht="31.15" customHeight="1" thickBot="1" x14ac:dyDescent="0.3">
      <c r="B8" s="79" t="s">
        <v>96</v>
      </c>
      <c r="C8" s="78" t="s">
        <v>95</v>
      </c>
      <c r="D8" s="77" t="s">
        <v>82</v>
      </c>
      <c r="E8" s="77">
        <v>24</v>
      </c>
      <c r="F8" s="77" t="s">
        <v>58</v>
      </c>
      <c r="G8" s="77">
        <v>1</v>
      </c>
    </row>
    <row r="9" spans="2:7" ht="31.15" customHeight="1" thickBot="1" x14ac:dyDescent="0.3">
      <c r="B9" s="79" t="s">
        <v>94</v>
      </c>
      <c r="C9" s="78" t="s">
        <v>93</v>
      </c>
      <c r="D9" s="77" t="s">
        <v>82</v>
      </c>
      <c r="E9" s="77">
        <v>24</v>
      </c>
      <c r="F9" s="77" t="s">
        <v>58</v>
      </c>
      <c r="G9" s="77">
        <v>1</v>
      </c>
    </row>
    <row r="10" spans="2:7" ht="23.25" thickBot="1" x14ac:dyDescent="0.3">
      <c r="B10" s="79" t="s">
        <v>70</v>
      </c>
      <c r="C10" s="78" t="s">
        <v>92</v>
      </c>
      <c r="D10" s="77" t="s">
        <v>82</v>
      </c>
      <c r="E10" s="77">
        <v>24</v>
      </c>
      <c r="F10" s="77" t="s">
        <v>58</v>
      </c>
      <c r="G10" s="77">
        <v>1</v>
      </c>
    </row>
    <row r="11" spans="2:7" ht="23.25" thickBot="1" x14ac:dyDescent="0.3">
      <c r="B11" s="79" t="s">
        <v>91</v>
      </c>
      <c r="C11" s="78" t="s">
        <v>90</v>
      </c>
      <c r="D11" s="77" t="s">
        <v>82</v>
      </c>
      <c r="E11" s="77">
        <v>24</v>
      </c>
      <c r="F11" s="77" t="s">
        <v>58</v>
      </c>
      <c r="G11" s="77">
        <v>1</v>
      </c>
    </row>
    <row r="12" spans="2:7" ht="31.15" customHeight="1" thickBot="1" x14ac:dyDescent="0.3">
      <c r="B12" s="79" t="s">
        <v>103</v>
      </c>
      <c r="C12" s="78" t="s">
        <v>89</v>
      </c>
      <c r="D12" s="77" t="s">
        <v>82</v>
      </c>
      <c r="E12" s="77">
        <v>24</v>
      </c>
      <c r="F12" s="77" t="s">
        <v>58</v>
      </c>
      <c r="G12" s="77">
        <v>1</v>
      </c>
    </row>
    <row r="13" spans="2:7" ht="31.15" customHeight="1" thickBot="1" x14ac:dyDescent="0.3">
      <c r="B13" s="79" t="s">
        <v>88</v>
      </c>
      <c r="C13" s="78" t="s">
        <v>87</v>
      </c>
      <c r="D13" s="77" t="s">
        <v>82</v>
      </c>
      <c r="E13" s="77">
        <v>24</v>
      </c>
      <c r="F13" s="77" t="s">
        <v>58</v>
      </c>
      <c r="G13" s="77">
        <v>1</v>
      </c>
    </row>
    <row r="14" spans="2:7" ht="31.15" customHeight="1" thickBot="1" x14ac:dyDescent="0.3">
      <c r="B14" s="79" t="s">
        <v>85</v>
      </c>
      <c r="C14" s="78" t="s">
        <v>86</v>
      </c>
      <c r="D14" s="77" t="s">
        <v>82</v>
      </c>
      <c r="E14" s="77">
        <v>24</v>
      </c>
      <c r="F14" s="77" t="s">
        <v>58</v>
      </c>
      <c r="G14" s="77">
        <v>1</v>
      </c>
    </row>
    <row r="15" spans="2:7" ht="31.15" customHeight="1" thickBot="1" x14ac:dyDescent="0.3">
      <c r="B15" s="79" t="s">
        <v>85</v>
      </c>
      <c r="C15" s="78" t="s">
        <v>84</v>
      </c>
      <c r="D15" s="77" t="s">
        <v>82</v>
      </c>
      <c r="E15" s="77">
        <v>24</v>
      </c>
      <c r="F15" s="77" t="s">
        <v>58</v>
      </c>
      <c r="G15" s="77">
        <v>1</v>
      </c>
    </row>
    <row r="16" spans="2:7" ht="31.15" customHeight="1" thickBot="1" x14ac:dyDescent="0.3">
      <c r="B16" s="79" t="s">
        <v>70</v>
      </c>
      <c r="C16" s="78" t="s">
        <v>83</v>
      </c>
      <c r="D16" s="77" t="s">
        <v>82</v>
      </c>
      <c r="E16" s="77">
        <v>24</v>
      </c>
      <c r="F16" s="77" t="s">
        <v>58</v>
      </c>
      <c r="G16" s="77">
        <v>1</v>
      </c>
    </row>
    <row r="17" spans="2:7" ht="15" customHeight="1" thickBot="1" x14ac:dyDescent="0.3">
      <c r="B17" s="186" t="s">
        <v>81</v>
      </c>
      <c r="C17" s="187"/>
      <c r="D17" s="187"/>
      <c r="E17" s="187"/>
      <c r="F17" s="188"/>
      <c r="G17" s="75">
        <f>+SUM(G5:G16)</f>
        <v>12</v>
      </c>
    </row>
    <row r="18" spans="2:7" ht="15.75" thickBot="1" x14ac:dyDescent="0.3"/>
    <row r="19" spans="2:7" ht="24.6" customHeight="1" thickBot="1" x14ac:dyDescent="0.3">
      <c r="B19" s="183" t="s">
        <v>53</v>
      </c>
      <c r="C19" s="184"/>
      <c r="D19" s="184"/>
      <c r="E19" s="184"/>
      <c r="F19" s="184"/>
      <c r="G19" s="185"/>
    </row>
    <row r="20" spans="2:7" ht="15.75" thickBot="1" x14ac:dyDescent="0.3">
      <c r="B20" s="82" t="s">
        <v>80</v>
      </c>
      <c r="C20" s="81" t="s">
        <v>79</v>
      </c>
      <c r="D20" s="81" t="s">
        <v>78</v>
      </c>
      <c r="E20" s="81" t="s">
        <v>77</v>
      </c>
      <c r="F20" s="81" t="s">
        <v>76</v>
      </c>
      <c r="G20" s="80" t="s">
        <v>75</v>
      </c>
    </row>
    <row r="21" spans="2:7" ht="23.25" thickBot="1" x14ac:dyDescent="0.3">
      <c r="B21" s="79" t="s">
        <v>70</v>
      </c>
      <c r="C21" s="78" t="s">
        <v>74</v>
      </c>
      <c r="D21" s="77" t="s">
        <v>59</v>
      </c>
      <c r="E21" s="83" t="s">
        <v>107</v>
      </c>
      <c r="F21" s="84" t="s">
        <v>108</v>
      </c>
      <c r="G21" s="77">
        <v>1</v>
      </c>
    </row>
    <row r="22" spans="2:7" ht="23.25" thickBot="1" x14ac:dyDescent="0.3">
      <c r="B22" s="79" t="s">
        <v>70</v>
      </c>
      <c r="C22" s="78" t="s">
        <v>73</v>
      </c>
      <c r="D22" s="77" t="s">
        <v>62</v>
      </c>
      <c r="E22" s="77">
        <v>12</v>
      </c>
      <c r="F22" s="77" t="s">
        <v>58</v>
      </c>
      <c r="G22" s="77">
        <v>1</v>
      </c>
    </row>
    <row r="23" spans="2:7" ht="23.25" thickBot="1" x14ac:dyDescent="0.3">
      <c r="B23" s="79" t="s">
        <v>70</v>
      </c>
      <c r="C23" s="78" t="s">
        <v>72</v>
      </c>
      <c r="D23" s="77" t="s">
        <v>62</v>
      </c>
      <c r="E23" s="77">
        <v>12</v>
      </c>
      <c r="F23" s="77" t="s">
        <v>58</v>
      </c>
      <c r="G23" s="77">
        <v>1</v>
      </c>
    </row>
    <row r="24" spans="2:7" ht="23.25" thickBot="1" x14ac:dyDescent="0.3">
      <c r="B24" s="79" t="s">
        <v>70</v>
      </c>
      <c r="C24" s="78" t="s">
        <v>71</v>
      </c>
      <c r="D24" s="77" t="s">
        <v>62</v>
      </c>
      <c r="E24" s="77">
        <v>12</v>
      </c>
      <c r="F24" s="77" t="s">
        <v>58</v>
      </c>
      <c r="G24" s="77">
        <v>1</v>
      </c>
    </row>
    <row r="25" spans="2:7" ht="23.25" thickBot="1" x14ac:dyDescent="0.3">
      <c r="B25" s="79" t="s">
        <v>70</v>
      </c>
      <c r="C25" s="78" t="s">
        <v>69</v>
      </c>
      <c r="D25" s="77" t="s">
        <v>62</v>
      </c>
      <c r="E25" s="77">
        <v>12</v>
      </c>
      <c r="F25" s="77" t="s">
        <v>58</v>
      </c>
      <c r="G25" s="77">
        <v>1</v>
      </c>
    </row>
    <row r="26" spans="2:7" ht="23.25" thickBot="1" x14ac:dyDescent="0.3">
      <c r="B26" s="79" t="s">
        <v>68</v>
      </c>
      <c r="C26" s="78" t="s">
        <v>67</v>
      </c>
      <c r="D26" s="77" t="s">
        <v>62</v>
      </c>
      <c r="E26" s="77">
        <v>12</v>
      </c>
      <c r="F26" s="77" t="s">
        <v>58</v>
      </c>
      <c r="G26" s="77">
        <v>1</v>
      </c>
    </row>
    <row r="27" spans="2:7" ht="23.25" thickBot="1" x14ac:dyDescent="0.3">
      <c r="B27" s="79" t="s">
        <v>66</v>
      </c>
      <c r="C27" s="78" t="s">
        <v>65</v>
      </c>
      <c r="D27" s="77" t="s">
        <v>62</v>
      </c>
      <c r="E27" s="77">
        <v>12</v>
      </c>
      <c r="F27" s="77" t="s">
        <v>58</v>
      </c>
      <c r="G27" s="77">
        <v>1</v>
      </c>
    </row>
    <row r="28" spans="2:7" ht="23.25" thickBot="1" x14ac:dyDescent="0.3">
      <c r="B28" s="79" t="s">
        <v>64</v>
      </c>
      <c r="C28" s="78" t="s">
        <v>63</v>
      </c>
      <c r="D28" s="77" t="s">
        <v>62</v>
      </c>
      <c r="E28" s="77">
        <v>12</v>
      </c>
      <c r="F28" s="77" t="s">
        <v>58</v>
      </c>
      <c r="G28" s="77">
        <v>1</v>
      </c>
    </row>
    <row r="29" spans="2:7" ht="23.25" thickBot="1" x14ac:dyDescent="0.3">
      <c r="B29" s="76" t="s">
        <v>61</v>
      </c>
      <c r="C29" s="75" t="s">
        <v>60</v>
      </c>
      <c r="D29" s="74" t="s">
        <v>59</v>
      </c>
      <c r="E29" s="83" t="s">
        <v>107</v>
      </c>
      <c r="F29" s="84" t="s">
        <v>108</v>
      </c>
      <c r="G29" s="74">
        <v>1</v>
      </c>
    </row>
    <row r="30" spans="2:7" ht="15" customHeight="1" thickBot="1" x14ac:dyDescent="0.3">
      <c r="B30" s="180" t="s">
        <v>104</v>
      </c>
      <c r="C30" s="181"/>
      <c r="D30" s="181"/>
      <c r="E30" s="181"/>
      <c r="F30" s="182"/>
      <c r="G30" s="75">
        <f>+SUM(G21:G29)</f>
        <v>9</v>
      </c>
    </row>
    <row r="31" spans="2:7" ht="15" customHeight="1" thickBot="1" x14ac:dyDescent="0.3">
      <c r="B31" s="180" t="s">
        <v>105</v>
      </c>
      <c r="C31" s="181"/>
      <c r="D31" s="181"/>
      <c r="E31" s="181"/>
      <c r="F31" s="182"/>
      <c r="G31" s="75">
        <f>+G30+G17</f>
        <v>21</v>
      </c>
    </row>
  </sheetData>
  <mergeCells count="6">
    <mergeCell ref="B31:F31"/>
    <mergeCell ref="B2:G2"/>
    <mergeCell ref="B17:F17"/>
    <mergeCell ref="B19:G19"/>
    <mergeCell ref="B3:G3"/>
    <mergeCell ref="B30:F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2"/>
  <sheetViews>
    <sheetView showGridLines="0" zoomScaleNormal="100" workbookViewId="0">
      <selection activeCell="F10" sqref="F10:G12"/>
    </sheetView>
  </sheetViews>
  <sheetFormatPr baseColWidth="10" defaultRowHeight="15" x14ac:dyDescent="0.25"/>
  <cols>
    <col min="1" max="2" width="3" customWidth="1"/>
    <col min="3" max="3" width="23.28515625" style="40" customWidth="1"/>
    <col min="4" max="4" width="8.28515625" style="1" customWidth="1"/>
    <col min="6" max="6" width="16.7109375" customWidth="1"/>
    <col min="7" max="7" width="7.85546875" bestFit="1" customWidth="1"/>
    <col min="8" max="8" width="13.28515625" bestFit="1" customWidth="1"/>
    <col min="9" max="9" width="12.42578125" customWidth="1"/>
    <col min="10" max="10" width="14.7109375" bestFit="1" customWidth="1"/>
  </cols>
  <sheetData>
    <row r="2" spans="3:7" ht="33" x14ac:dyDescent="0.25">
      <c r="C2" s="36" t="s">
        <v>3</v>
      </c>
      <c r="D2" s="36" t="s">
        <v>4</v>
      </c>
      <c r="F2" s="36" t="s">
        <v>3</v>
      </c>
      <c r="G2" s="36" t="s">
        <v>4</v>
      </c>
    </row>
    <row r="3" spans="3:7" ht="33" x14ac:dyDescent="0.25">
      <c r="C3" s="85" t="s">
        <v>56</v>
      </c>
      <c r="D3" s="53">
        <v>1</v>
      </c>
      <c r="F3" s="85" t="s">
        <v>56</v>
      </c>
      <c r="G3" s="53">
        <v>1</v>
      </c>
    </row>
    <row r="4" spans="3:7" ht="24.75" x14ac:dyDescent="0.25">
      <c r="C4" s="85" t="s">
        <v>22</v>
      </c>
      <c r="D4" s="53">
        <v>1</v>
      </c>
      <c r="F4" s="85" t="s">
        <v>22</v>
      </c>
      <c r="G4" s="53">
        <v>1</v>
      </c>
    </row>
    <row r="5" spans="3:7" ht="24.75" x14ac:dyDescent="0.25">
      <c r="C5" s="85" t="s">
        <v>23</v>
      </c>
      <c r="D5" s="53">
        <v>5</v>
      </c>
      <c r="F5" s="85" t="s">
        <v>23</v>
      </c>
      <c r="G5" s="53">
        <v>5</v>
      </c>
    </row>
    <row r="6" spans="3:7" ht="24.75" x14ac:dyDescent="0.25">
      <c r="C6" s="85" t="s">
        <v>57</v>
      </c>
      <c r="D6" s="53">
        <v>5</v>
      </c>
      <c r="F6" s="85" t="s">
        <v>57</v>
      </c>
      <c r="G6" s="53">
        <v>5</v>
      </c>
    </row>
    <row r="7" spans="3:7" ht="24.75" x14ac:dyDescent="0.25">
      <c r="C7" s="85" t="s">
        <v>24</v>
      </c>
      <c r="D7" s="53">
        <v>1</v>
      </c>
      <c r="F7" s="86" t="s">
        <v>110</v>
      </c>
      <c r="G7" s="86">
        <f>+SUM(G3:G6)</f>
        <v>12</v>
      </c>
    </row>
    <row r="8" spans="3:7" ht="14.45" customHeight="1" x14ac:dyDescent="0.25">
      <c r="C8" s="85" t="s">
        <v>21</v>
      </c>
      <c r="D8" s="53">
        <v>7</v>
      </c>
    </row>
    <row r="9" spans="3:7" ht="24.75" x14ac:dyDescent="0.25">
      <c r="C9" s="85" t="s">
        <v>26</v>
      </c>
      <c r="D9" s="53">
        <v>1</v>
      </c>
    </row>
    <row r="10" spans="3:7" ht="25.9" customHeight="1" x14ac:dyDescent="0.25">
      <c r="C10" s="86" t="s">
        <v>109</v>
      </c>
      <c r="D10" s="86">
        <f>+SUM(D3:D9)</f>
        <v>21</v>
      </c>
      <c r="F10" s="36" t="s">
        <v>111</v>
      </c>
      <c r="G10" s="36" t="s">
        <v>112</v>
      </c>
    </row>
    <row r="11" spans="3:7" x14ac:dyDescent="0.25">
      <c r="F11" s="85" t="s">
        <v>113</v>
      </c>
      <c r="G11" s="53">
        <v>4</v>
      </c>
    </row>
    <row r="12" spans="3:7" x14ac:dyDescent="0.25">
      <c r="F12" s="85" t="s">
        <v>114</v>
      </c>
      <c r="G12" s="53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Seguimiento Seguridad</dc:creator>
  <cp:lastModifiedBy>Edison Gerardo Castillo Gomez</cp:lastModifiedBy>
  <dcterms:created xsi:type="dcterms:W3CDTF">2020-06-02T16:11:37Z</dcterms:created>
  <dcterms:modified xsi:type="dcterms:W3CDTF">2022-11-02T16:06:14Z</dcterms:modified>
</cp:coreProperties>
</file>