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MAYOR CUANTIA\INVITACIONES\PÚBLICAS\01 DE 2022 VIGILANCIA FÍSICA\2. Pliego de Condiciones\Anexos\"/>
    </mc:Choice>
  </mc:AlternateContent>
  <bookViews>
    <workbookView xWindow="0" yWindow="0" windowWidth="8265" windowHeight="7125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" i="2" l="1"/>
  <c r="K52" i="2" s="1"/>
  <c r="I53" i="2" l="1"/>
  <c r="K53" i="2" s="1"/>
  <c r="H60" i="2" l="1"/>
  <c r="H61" i="2" s="1"/>
  <c r="J61" i="2" s="1"/>
  <c r="J5" i="2"/>
  <c r="D97" i="2" l="1"/>
  <c r="D89" i="2"/>
  <c r="D76" i="2"/>
  <c r="F76" i="2" s="1"/>
  <c r="I76" i="2" s="1"/>
  <c r="J76" i="2" s="1"/>
  <c r="K76" i="2" s="1"/>
  <c r="D71" i="2"/>
  <c r="D95" i="2"/>
  <c r="D87" i="2"/>
  <c r="D74" i="2"/>
  <c r="D70" i="2"/>
  <c r="F70" i="2" s="1"/>
  <c r="I70" i="2" s="1"/>
  <c r="J70" i="2" s="1"/>
  <c r="K70" i="2" s="1"/>
  <c r="D101" i="2"/>
  <c r="D94" i="2"/>
  <c r="F94" i="2" s="1"/>
  <c r="I94" i="2" s="1"/>
  <c r="J94" i="2" s="1"/>
  <c r="K94" i="2" s="1"/>
  <c r="D85" i="2"/>
  <c r="D80" i="2"/>
  <c r="F80" i="2" s="1"/>
  <c r="I80" i="2" s="1"/>
  <c r="J80" i="2" s="1"/>
  <c r="K80" i="2" s="1"/>
  <c r="D73" i="2"/>
  <c r="D68" i="2"/>
  <c r="D99" i="2"/>
  <c r="D93" i="2"/>
  <c r="F93" i="2" s="1"/>
  <c r="I93" i="2" s="1"/>
  <c r="J93" i="2" s="1"/>
  <c r="K93" i="2" s="1"/>
  <c r="D84" i="2"/>
  <c r="F84" i="2" s="1"/>
  <c r="I84" i="2" s="1"/>
  <c r="J84" i="2" s="1"/>
  <c r="K84" i="2" s="1"/>
  <c r="D78" i="2"/>
  <c r="D72" i="2"/>
  <c r="F72" i="2" s="1"/>
  <c r="I72" i="2" s="1"/>
  <c r="J72" i="2" s="1"/>
  <c r="K72" i="2" s="1"/>
  <c r="D39" i="2"/>
  <c r="F39" i="2" s="1"/>
  <c r="I39" i="2" s="1"/>
  <c r="J39" i="2" s="1"/>
  <c r="K39" i="2" s="1"/>
  <c r="F97" i="2"/>
  <c r="I97" i="2" s="1"/>
  <c r="J97" i="2" s="1"/>
  <c r="K97" i="2" s="1"/>
  <c r="D43" i="2"/>
  <c r="D41" i="2"/>
  <c r="D47" i="2"/>
  <c r="D45" i="2"/>
  <c r="D40" i="2"/>
  <c r="F40" i="2" s="1"/>
  <c r="I40" i="2" s="1"/>
  <c r="J40" i="2" s="1"/>
  <c r="K40" i="2" s="1"/>
  <c r="D26" i="2"/>
  <c r="D19" i="2"/>
  <c r="D35" i="2"/>
  <c r="D23" i="2"/>
  <c r="D14" i="2"/>
  <c r="D24" i="2"/>
  <c r="F24" i="2" s="1"/>
  <c r="I24" i="2" s="1"/>
  <c r="J24" i="2" s="1"/>
  <c r="K24" i="2" s="1"/>
  <c r="D16" i="2"/>
  <c r="D11" i="2"/>
  <c r="J60" i="2"/>
  <c r="D13" i="2"/>
  <c r="D17" i="2"/>
  <c r="F17" i="2" s="1"/>
  <c r="I17" i="2" s="1"/>
  <c r="D33" i="2"/>
  <c r="D21" i="2"/>
  <c r="F21" i="2" s="1"/>
  <c r="I21" i="2" s="1"/>
  <c r="J21" i="2" s="1"/>
  <c r="K21" i="2" s="1"/>
  <c r="D30" i="2"/>
  <c r="F30" i="2" s="1"/>
  <c r="I30" i="2" s="1"/>
  <c r="J30" i="2" s="1"/>
  <c r="K30" i="2" s="1"/>
  <c r="D15" i="2"/>
  <c r="F15" i="2" s="1"/>
  <c r="I15" i="2" s="1"/>
  <c r="J15" i="2" s="1"/>
  <c r="K15" i="2" s="1"/>
  <c r="D31" i="2"/>
  <c r="F47" i="2" l="1"/>
  <c r="I47" i="2" s="1"/>
  <c r="F11" i="2"/>
  <c r="I11" i="2" s="1"/>
  <c r="J11" i="2" s="1"/>
  <c r="K11" i="2" s="1"/>
  <c r="F23" i="2"/>
  <c r="I23" i="2" s="1"/>
  <c r="J23" i="2" s="1"/>
  <c r="F13" i="2"/>
  <c r="I13" i="2" s="1"/>
  <c r="J13" i="2" s="1"/>
  <c r="K13" i="2" s="1"/>
  <c r="F19" i="2"/>
  <c r="I19" i="2" s="1"/>
  <c r="J19" i="2" s="1"/>
  <c r="J17" i="2"/>
  <c r="K17" i="2" s="1"/>
  <c r="F14" i="2"/>
  <c r="I14" i="2" s="1"/>
  <c r="J14" i="2" s="1"/>
  <c r="K14" i="2" s="1"/>
  <c r="F99" i="2"/>
  <c r="I99" i="2" s="1"/>
  <c r="J99" i="2" s="1"/>
  <c r="K99" i="2" s="1"/>
  <c r="F95" i="2"/>
  <c r="I95" i="2" s="1"/>
  <c r="J95" i="2" s="1"/>
  <c r="K95" i="2" s="1"/>
  <c r="F101" i="2"/>
  <c r="I101" i="2" s="1"/>
  <c r="J101" i="2" s="1"/>
  <c r="K101" i="2" s="1"/>
  <c r="F85" i="2"/>
  <c r="I85" i="2" s="1"/>
  <c r="J85" i="2" s="1"/>
  <c r="K85" i="2" s="1"/>
  <c r="F87" i="2"/>
  <c r="I87" i="2" s="1"/>
  <c r="J87" i="2" s="1"/>
  <c r="K87" i="2" s="1"/>
  <c r="F89" i="2"/>
  <c r="F74" i="2"/>
  <c r="I74" i="2" s="1"/>
  <c r="J74" i="2" s="1"/>
  <c r="K74" i="2" s="1"/>
  <c r="F73" i="2"/>
  <c r="I73" i="2" s="1"/>
  <c r="J73" i="2" s="1"/>
  <c r="K73" i="2" s="1"/>
  <c r="F68" i="2"/>
  <c r="I68" i="2" s="1"/>
  <c r="J68" i="2" s="1"/>
  <c r="K68" i="2" s="1"/>
  <c r="F78" i="2"/>
  <c r="I78" i="2" s="1"/>
  <c r="J78" i="2" s="1"/>
  <c r="K78" i="2" s="1"/>
  <c r="F71" i="2"/>
  <c r="I71" i="2" s="1"/>
  <c r="J71" i="2" s="1"/>
  <c r="K71" i="2" s="1"/>
  <c r="F45" i="2"/>
  <c r="I46" i="2" s="1"/>
  <c r="J46" i="2" s="1"/>
  <c r="K46" i="2" s="1"/>
  <c r="F41" i="2"/>
  <c r="I41" i="2" s="1"/>
  <c r="J41" i="2" s="1"/>
  <c r="K41" i="2" s="1"/>
  <c r="F43" i="2"/>
  <c r="I43" i="2" s="1"/>
  <c r="J43" i="2" s="1"/>
  <c r="K43" i="2" s="1"/>
  <c r="F26" i="2"/>
  <c r="F35" i="2"/>
  <c r="K54" i="2"/>
  <c r="N105" i="2" s="1"/>
  <c r="Q105" i="2" s="1"/>
  <c r="F33" i="2"/>
  <c r="I33" i="2" s="1"/>
  <c r="J33" i="2" s="1"/>
  <c r="K33" i="2" s="1"/>
  <c r="F16" i="2"/>
  <c r="I16" i="2" s="1"/>
  <c r="J16" i="2" s="1"/>
  <c r="K16" i="2" s="1"/>
  <c r="F31" i="2"/>
  <c r="I32" i="2" s="1"/>
  <c r="J32" i="2" s="1"/>
  <c r="K32" i="2" s="1"/>
  <c r="I25" i="2"/>
  <c r="J25" i="2" s="1"/>
  <c r="K25" i="2" s="1"/>
  <c r="I18" i="2"/>
  <c r="I22" i="2"/>
  <c r="J22" i="2" s="1"/>
  <c r="K22" i="2" s="1"/>
  <c r="I12" i="2" l="1"/>
  <c r="J12" i="2" s="1"/>
  <c r="K12" i="2" s="1"/>
  <c r="I89" i="2"/>
  <c r="J89" i="2" s="1"/>
  <c r="K89" i="2" s="1"/>
  <c r="I35" i="2"/>
  <c r="J35" i="2" s="1"/>
  <c r="K35" i="2" s="1"/>
  <c r="K19" i="2"/>
  <c r="K23" i="2"/>
  <c r="I26" i="2"/>
  <c r="J26" i="2" s="1"/>
  <c r="K26" i="2" s="1"/>
  <c r="J18" i="2"/>
  <c r="K18" i="2" s="1"/>
  <c r="J47" i="2"/>
  <c r="K47" i="2" s="1"/>
  <c r="I96" i="2"/>
  <c r="J96" i="2" s="1"/>
  <c r="K96" i="2" s="1"/>
  <c r="I100" i="2"/>
  <c r="J100" i="2" s="1"/>
  <c r="K100" i="2" s="1"/>
  <c r="I69" i="2"/>
  <c r="J69" i="2" s="1"/>
  <c r="K69" i="2" s="1"/>
  <c r="I75" i="2"/>
  <c r="J75" i="2" s="1"/>
  <c r="K75" i="2" s="1"/>
  <c r="I86" i="2"/>
  <c r="J86" i="2" s="1"/>
  <c r="K86" i="2" s="1"/>
  <c r="I79" i="2"/>
  <c r="J79" i="2" s="1"/>
  <c r="K79" i="2" s="1"/>
  <c r="I45" i="2"/>
  <c r="J45" i="2" s="1"/>
  <c r="K45" i="2" s="1"/>
  <c r="I42" i="2"/>
  <c r="J42" i="2" s="1"/>
  <c r="K42" i="2" s="1"/>
  <c r="N104" i="2" s="1"/>
  <c r="I31" i="2"/>
  <c r="J31" i="2" s="1"/>
  <c r="K31" i="2" s="1"/>
  <c r="N102" i="2" l="1"/>
  <c r="O104" i="2"/>
  <c r="P104" i="2" s="1"/>
  <c r="Q104" i="2" s="1"/>
  <c r="N103" i="2"/>
  <c r="O103" i="2" s="1"/>
  <c r="P103" i="2" s="1"/>
  <c r="Q103" i="2" s="1"/>
  <c r="K48" i="2"/>
  <c r="K49" i="2" s="1"/>
  <c r="K50" i="2" s="1"/>
  <c r="K102" i="2"/>
  <c r="K103" i="2" s="1"/>
  <c r="K104" i="2" s="1"/>
  <c r="K105" i="2" s="1"/>
  <c r="O102" i="2" l="1"/>
  <c r="P102" i="2" s="1"/>
  <c r="Q102" i="2" s="1"/>
  <c r="Q106" i="2" s="1"/>
  <c r="K51" i="2"/>
  <c r="K55" i="2" s="1"/>
  <c r="K106" i="2" l="1"/>
</calcChain>
</file>

<file path=xl/comments1.xml><?xml version="1.0" encoding="utf-8"?>
<comments xmlns="http://schemas.openxmlformats.org/spreadsheetml/2006/main">
  <authors>
    <author>Seguimiento Seguridad</author>
  </authors>
  <commentList>
    <comment ref="B21" authorId="0" shapeId="0">
      <text>
        <r>
          <rPr>
            <b/>
            <sz val="9"/>
            <color indexed="81"/>
            <rFont val="Tahoma"/>
            <family val="2"/>
          </rPr>
          <t>Seguimiento Seguridad:</t>
        </r>
        <r>
          <rPr>
            <sz val="9"/>
            <color indexed="81"/>
            <rFont val="Tahoma"/>
            <family val="2"/>
          </rPr>
          <t xml:space="preserve">
Este servicio no se esta prestando, se propone que sea el decontrol de salida vehicular </t>
        </r>
      </text>
    </comment>
  </commentList>
</comments>
</file>

<file path=xl/sharedStrings.xml><?xml version="1.0" encoding="utf-8"?>
<sst xmlns="http://schemas.openxmlformats.org/spreadsheetml/2006/main" count="133" uniqueCount="76">
  <si>
    <t>SMMLV</t>
  </si>
  <si>
    <t>Factor</t>
  </si>
  <si>
    <t>Tarifa Mínima</t>
  </si>
  <si>
    <t>NOMBRE DEL SERVICIO</t>
  </si>
  <si>
    <t xml:space="preserve">CANTIDAD SERVICIOS </t>
  </si>
  <si>
    <t>VALOR BASE DEL SERVICIO Tarifa 2020</t>
  </si>
  <si>
    <t>% Gastos Admon. y Super. (8%, 10% ó 11%)</t>
  </si>
  <si>
    <t xml:space="preserve">Valor Gastos Administración y Supervisión </t>
  </si>
  <si>
    <t xml:space="preserve"> VARIABLE DE PROPORCIONALIDAD</t>
  </si>
  <si>
    <t xml:space="preserve">DIAS LABORADOS CON APROXIMACION DE DECIMALES </t>
  </si>
  <si>
    <t>COSTO MENSUAL POR SERVICIO</t>
  </si>
  <si>
    <t xml:space="preserve">COSTO MENSUAL POR No. DE SERVICIOS </t>
  </si>
  <si>
    <t xml:space="preserve">TOTAL SERVICIO </t>
  </si>
  <si>
    <t>SEDE BOGOTA - CALLE 100</t>
  </si>
  <si>
    <t>SEDE BOGOTA - FACULTAD DE MEDICINA Y CIENCIAS DE LA SALUD</t>
  </si>
  <si>
    <t>Valor Total de los Servicios antes de IVA</t>
  </si>
  <si>
    <t>AIU (Administración, imprevistos, utilidad) Base Gravable para el IVA (10% del Total de los Servicios)</t>
  </si>
  <si>
    <t>IVA 19% de la Base Gravable</t>
  </si>
  <si>
    <t>Medios técnológicos  adicionales</t>
  </si>
  <si>
    <t>Valor Total mes</t>
  </si>
  <si>
    <t>Valor Individual mes</t>
  </si>
  <si>
    <t xml:space="preserve">Medios técnológicos  adicionales por doce meses  </t>
  </si>
  <si>
    <t>% Proyectado</t>
  </si>
  <si>
    <t xml:space="preserve">VALOR BASE DEL SERVICIO Tarifa incrementada en 6% para 2021 </t>
  </si>
  <si>
    <r>
      <t>Total costo avanteles incluido IVA</t>
    </r>
    <r>
      <rPr>
        <b/>
        <sz val="8"/>
        <color indexed="8"/>
        <rFont val="Arial"/>
        <family val="2"/>
      </rPr>
      <t xml:space="preserve"> por 12 meses</t>
    </r>
  </si>
  <si>
    <r>
      <t>Total costo detectores incluido IVA</t>
    </r>
    <r>
      <rPr>
        <b/>
        <sz val="8"/>
        <color indexed="8"/>
        <rFont val="Arial"/>
        <family val="2"/>
      </rPr>
      <t xml:space="preserve"> por 12 meses</t>
    </r>
  </si>
  <si>
    <r>
      <t>Servicios lunes a viernes sin festivos 16 horas / 15 horas diurnas, 1 hora nocturna</t>
    </r>
    <r>
      <rPr>
        <b/>
        <sz val="6"/>
        <rFont val="Arial"/>
        <family val="2"/>
      </rPr>
      <t xml:space="preserve"> sin arma</t>
    </r>
  </si>
  <si>
    <r>
      <t xml:space="preserve">Servicios sabados 12 horas </t>
    </r>
    <r>
      <rPr>
        <b/>
        <sz val="6"/>
        <rFont val="Arial"/>
        <family val="2"/>
      </rPr>
      <t>sin arma</t>
    </r>
  </si>
  <si>
    <r>
      <t xml:space="preserve">Servicios 24 horas lunes a domingo incluidos festivos </t>
    </r>
    <r>
      <rPr>
        <b/>
        <sz val="6"/>
        <rFont val="Arial"/>
        <family val="2"/>
      </rPr>
      <t>manejador canino</t>
    </r>
  </si>
  <si>
    <r>
      <t xml:space="preserve">Servicios 24 horas Lunes a Domingo Incluidos festivos </t>
    </r>
    <r>
      <rPr>
        <b/>
        <sz val="6"/>
        <rFont val="Arial"/>
        <family val="2"/>
      </rPr>
      <t>con arma</t>
    </r>
  </si>
  <si>
    <r>
      <t xml:space="preserve">Servicios Lunes a viernes sin festivos 16 horas </t>
    </r>
    <r>
      <rPr>
        <b/>
        <sz val="6"/>
        <rFont val="Arial"/>
        <family val="2"/>
      </rPr>
      <t>sin arma</t>
    </r>
    <r>
      <rPr>
        <sz val="6"/>
        <rFont val="Arial"/>
        <family val="2"/>
      </rPr>
      <t xml:space="preserve"> 15 horas diurno, 1 hora nocturna</t>
    </r>
  </si>
  <si>
    <r>
      <t xml:space="preserve">Servicios 16 horas lunes a viernes sin festivos </t>
    </r>
    <r>
      <rPr>
        <b/>
        <sz val="6"/>
        <color indexed="8"/>
        <rFont val="Arial"/>
        <family val="2"/>
      </rPr>
      <t>manejador canino</t>
    </r>
    <r>
      <rPr>
        <sz val="6"/>
        <color indexed="8"/>
        <rFont val="Arial"/>
        <family val="2"/>
      </rPr>
      <t xml:space="preserve"> 15 horas diurno, 1 hora nocturna</t>
    </r>
  </si>
  <si>
    <r>
      <t xml:space="preserve">Servicios 24 horas Lunes a Domingo Incluidos festivos </t>
    </r>
    <r>
      <rPr>
        <b/>
        <sz val="6"/>
        <color rgb="FF000000"/>
        <rFont val="Arial"/>
        <family val="2"/>
      </rPr>
      <t>sin arma</t>
    </r>
  </si>
  <si>
    <r>
      <t xml:space="preserve">Servicios 16 horas lunes a viernes sin festivos </t>
    </r>
    <r>
      <rPr>
        <b/>
        <sz val="6"/>
        <color indexed="8"/>
        <rFont val="Arial"/>
        <family val="2"/>
      </rPr>
      <t xml:space="preserve">manejador canino, </t>
    </r>
    <r>
      <rPr>
        <sz val="6"/>
        <color indexed="8"/>
        <rFont val="Arial"/>
        <family val="2"/>
      </rPr>
      <t>15 horas diurnas, 1 hora nocturna</t>
    </r>
  </si>
  <si>
    <r>
      <t xml:space="preserve">Servicios sábados 12 horas </t>
    </r>
    <r>
      <rPr>
        <b/>
        <sz val="6"/>
        <color indexed="8"/>
        <rFont val="Arial"/>
        <family val="2"/>
      </rPr>
      <t>manejador canino</t>
    </r>
  </si>
  <si>
    <r>
      <t xml:space="preserve">Servicios sabados 12 horas </t>
    </r>
    <r>
      <rPr>
        <b/>
        <sz val="6"/>
        <rFont val="Arial"/>
        <family val="2"/>
      </rPr>
      <t>manejador canino</t>
    </r>
  </si>
  <si>
    <t>SEDE BOGOTA - EDIFICIO CALLE 94</t>
  </si>
  <si>
    <r>
      <t xml:space="preserve">Servicios Lunes a viernes sin festivos </t>
    </r>
    <r>
      <rPr>
        <b/>
        <sz val="6"/>
        <rFont val="Arial"/>
        <family val="2"/>
      </rPr>
      <t>control ingreso</t>
    </r>
    <r>
      <rPr>
        <sz val="6"/>
        <rFont val="Arial"/>
        <family val="2"/>
      </rPr>
      <t xml:space="preserve"> </t>
    </r>
    <r>
      <rPr>
        <b/>
        <sz val="6"/>
        <rFont val="Arial"/>
        <family val="2"/>
      </rPr>
      <t>sin arma</t>
    </r>
    <r>
      <rPr>
        <sz val="6"/>
        <rFont val="Arial"/>
        <family val="2"/>
      </rPr>
      <t xml:space="preserve"> 16 horas15 horas diurno, 1 hora nocturna</t>
    </r>
  </si>
  <si>
    <r>
      <t xml:space="preserve">Servicios sabados 12 horas </t>
    </r>
    <r>
      <rPr>
        <b/>
        <sz val="6"/>
        <rFont val="Arial"/>
        <family val="2"/>
      </rPr>
      <t>control ingreso sin arma</t>
    </r>
  </si>
  <si>
    <t>CALCULO DE TARIFA MINIMA PARTE 2022</t>
  </si>
  <si>
    <t>CALCULO DE TARIFA MINIMA PARTE 2023</t>
  </si>
  <si>
    <t xml:space="preserve">Valor Total de los servicios año 2023 incluido IVA 19% </t>
  </si>
  <si>
    <t>Valor Total de los Servicios 2023 antes de IVA</t>
  </si>
  <si>
    <t>Valor Total de los Servicios 2022 más valor de los medios adicionales (IVA incluido)</t>
  </si>
  <si>
    <t xml:space="preserve">Valor Total de los servicios año 2022 incluido IVA 19% </t>
  </si>
  <si>
    <t>DIAS</t>
  </si>
  <si>
    <t>Total</t>
  </si>
  <si>
    <t>Clases</t>
  </si>
  <si>
    <r>
      <t xml:space="preserve">Servicios Lunes a viernes sin festivos </t>
    </r>
    <r>
      <rPr>
        <b/>
        <sz val="6"/>
        <rFont val="Arial"/>
        <family val="2"/>
      </rPr>
      <t>torniquete</t>
    </r>
    <r>
      <rPr>
        <sz val="6"/>
        <rFont val="Arial"/>
        <family val="2"/>
      </rPr>
      <t xml:space="preserve"> </t>
    </r>
    <r>
      <rPr>
        <b/>
        <sz val="6"/>
        <rFont val="Arial"/>
        <family val="2"/>
      </rPr>
      <t>sin arma</t>
    </r>
    <r>
      <rPr>
        <sz val="6"/>
        <rFont val="Arial"/>
        <family val="2"/>
      </rPr>
      <t xml:space="preserve"> 12 horas.</t>
    </r>
  </si>
  <si>
    <t xml:space="preserve">TOTAL SERVICIO ( 3 meses, 12 dias) </t>
  </si>
  <si>
    <t xml:space="preserve">TOTAL SERVICIO ( 3 meses, 12 dias)  </t>
  </si>
  <si>
    <r>
      <t xml:space="preserve">Servicios 24 horas Lunes a Domingo Incluidos festivos </t>
    </r>
    <r>
      <rPr>
        <b/>
        <sz val="6"/>
        <color rgb="FF000000"/>
        <rFont val="Arial"/>
        <family val="2"/>
      </rPr>
      <t>con arma</t>
    </r>
  </si>
  <si>
    <t xml:space="preserve"> Plan corporativo Ilimitado  PTT y Llamadas</t>
  </si>
  <si>
    <t xml:space="preserve">Detector de Metales </t>
  </si>
  <si>
    <r>
      <t xml:space="preserve">Servicios 24 horas Lunes a Domingo Incluidos festivos </t>
    </r>
    <r>
      <rPr>
        <b/>
        <sz val="6"/>
        <rFont val="Arial"/>
        <family val="2"/>
      </rPr>
      <t>sin arma incluidos 2 OMT</t>
    </r>
  </si>
  <si>
    <t>Los siguientes servicios se prestarán en el período: del 23 de enero de 2023 al 09 de junio de 2023 y del 24 de julio 2023 al 30 de noviembre de 2023</t>
  </si>
  <si>
    <t xml:space="preserve">Valor Total del servicios 2022 y 2023 proyeccion de aumento del SMMLV en 10% para 2023. Incluido IVA 19% </t>
  </si>
  <si>
    <t>VALOR CONTRATO SERVICIO DE SEGURIDAD 2022-2023 (Artículo 462-1 E.T, Base Gravable Especial) / Tarifas de la Circular Externa  No. Nº  20211300000225 Superintendencia de Vigilancia y Seguridad privada del 31 de Diciembre de 2020 / Decreto 4950 de 2007</t>
  </si>
  <si>
    <t>SMMLV 2022</t>
  </si>
  <si>
    <t>SMMLV 2023</t>
  </si>
  <si>
    <t>Bogota</t>
  </si>
  <si>
    <t>Medicina</t>
  </si>
  <si>
    <t>Medios Tec</t>
  </si>
  <si>
    <t xml:space="preserve">Los siguientes servicios se prestarán desde el 25 de noviembre de 2022 hasta el 31 de diciembre de 2022 </t>
  </si>
  <si>
    <t>TOTAL SERVICIO  (1 mes , 6 dias)</t>
  </si>
  <si>
    <t>Los siguientes servicios se prestarán desde el 1 de enero de 2023 hasta el 24 de noviembre de 2023</t>
  </si>
  <si>
    <t>TOTAL SERVICIO  (10 meses, 24 dias)</t>
  </si>
  <si>
    <t>Los siguientes servicios se prestarán en el período: del 23 de enero de 2023 al 09 de junio de 2023 y del 24 de julio 2023 al 24 de noviembre de 2023</t>
  </si>
  <si>
    <t xml:space="preserve">TOTAL SERVICIO ( 8 meses, 20 dias) </t>
  </si>
  <si>
    <t>Los siguientes servicios se prestaran desde el 16 de enero de 2023 hasta el 16 de junio de 2023 y del 17 de julio de 2023 al 24 de noviembre de 2023</t>
  </si>
  <si>
    <t xml:space="preserve">TOTAL SERVICIO ( 9 meses, 7 dias) </t>
  </si>
  <si>
    <t>Clases Medicina</t>
  </si>
  <si>
    <r>
      <t xml:space="preserve">Servicios Lunes a viernes sin festivos torniquete </t>
    </r>
    <r>
      <rPr>
        <b/>
        <sz val="6"/>
        <rFont val="Arial"/>
        <family val="2"/>
      </rPr>
      <t>sin arma</t>
    </r>
    <r>
      <rPr>
        <sz val="6"/>
        <rFont val="Arial"/>
        <family val="2"/>
      </rPr>
      <t xml:space="preserve"> 12 horas.</t>
    </r>
  </si>
  <si>
    <r>
      <t xml:space="preserve">Servicios 24 horas Lunes a Domingo Incluidos festivos </t>
    </r>
    <r>
      <rPr>
        <b/>
        <sz val="6"/>
        <rFont val="Arial"/>
        <family val="2"/>
      </rPr>
      <t>sin arma Incluidos 1 OMT</t>
    </r>
  </si>
  <si>
    <t>Edificio 94</t>
  </si>
  <si>
    <t xml:space="preserve"> VALOR CONTRATO SERVICIO DE SEGURIDAD 2022-2023 (Artículo 462-1 E.T, Base Gravable Especial) / Tarifas de la Circular Externa  No. Nº  20211300000225 Superintendencia de Vigilancia y Seguridad privada del 29 de Diciembre de 2021 / Decreto 4950 de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</si>
</sst>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[$$-440A]#,##0.00"/>
    <numFmt numFmtId="165" formatCode="#,##0.0"/>
    <numFmt numFmtId="166" formatCode="&quot;$&quot;\ 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name val="Calibri"/>
      <family val="2"/>
      <scheme val="minor"/>
    </font>
    <font>
      <b/>
      <sz val="6"/>
      <color rgb="FF000000"/>
      <name val="Arial"/>
      <family val="2"/>
    </font>
    <font>
      <b/>
      <sz val="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color theme="1"/>
      <name val="Calibri"/>
      <family val="2"/>
      <scheme val="minor"/>
    </font>
    <font>
      <sz val="6"/>
      <name val="Arial"/>
      <family val="2"/>
    </font>
    <font>
      <sz val="6"/>
      <color rgb="FF000000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27C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00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9">
    <xf numFmtId="0" fontId="0" fillId="0" borderId="0" xfId="0"/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10" fontId="6" fillId="0" borderId="9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166" fontId="6" fillId="0" borderId="10" xfId="1" applyNumberFormat="1" applyFont="1" applyFill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9" fontId="6" fillId="0" borderId="2" xfId="2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9" fontId="6" fillId="0" borderId="5" xfId="2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9" fontId="6" fillId="0" borderId="0" xfId="2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166" fontId="6" fillId="0" borderId="1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10" fontId="4" fillId="0" borderId="5" xfId="2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9" fontId="6" fillId="3" borderId="9" xfId="0" applyNumberFormat="1" applyFont="1" applyFill="1" applyBorder="1" applyAlignment="1">
      <alignment horizontal="center" vertical="center"/>
    </xf>
    <xf numFmtId="10" fontId="6" fillId="3" borderId="9" xfId="0" applyNumberFormat="1" applyFont="1" applyFill="1" applyBorder="1" applyAlignment="1">
      <alignment horizontal="center" vertical="center"/>
    </xf>
    <xf numFmtId="166" fontId="6" fillId="3" borderId="10" xfId="1" applyNumberFormat="1" applyFont="1" applyFill="1" applyBorder="1" applyAlignment="1">
      <alignment horizontal="center" vertical="center"/>
    </xf>
    <xf numFmtId="9" fontId="6" fillId="3" borderId="2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166" fontId="6" fillId="3" borderId="3" xfId="1" applyNumberFormat="1" applyFont="1" applyFill="1" applyBorder="1" applyAlignment="1">
      <alignment horizontal="center" vertical="center"/>
    </xf>
    <xf numFmtId="10" fontId="6" fillId="3" borderId="5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166" fontId="6" fillId="3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6" fontId="2" fillId="7" borderId="10" xfId="0" applyNumberFormat="1" applyFont="1" applyFill="1" applyBorder="1" applyAlignment="1">
      <alignment horizontal="center" vertical="center"/>
    </xf>
    <xf numFmtId="166" fontId="2" fillId="8" borderId="10" xfId="0" applyNumberFormat="1" applyFont="1" applyFill="1" applyBorder="1" applyAlignment="1">
      <alignment horizontal="center" vertical="center"/>
    </xf>
    <xf numFmtId="166" fontId="7" fillId="8" borderId="10" xfId="0" applyNumberFormat="1" applyFont="1" applyFill="1" applyBorder="1" applyAlignment="1">
      <alignment horizontal="center" vertical="center"/>
    </xf>
    <xf numFmtId="166" fontId="7" fillId="8" borderId="6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164" fontId="2" fillId="8" borderId="1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3" fontId="4" fillId="0" borderId="0" xfId="0" applyNumberFormat="1" applyFont="1"/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164" fontId="11" fillId="4" borderId="10" xfId="0" applyNumberFormat="1" applyFont="1" applyFill="1" applyBorder="1" applyAlignment="1">
      <alignment horizontal="center" vertical="center" wrapText="1"/>
    </xf>
    <xf numFmtId="166" fontId="7" fillId="10" borderId="6" xfId="0" applyNumberFormat="1" applyFont="1" applyFill="1" applyBorder="1" applyAlignment="1">
      <alignment horizontal="center" vertical="center"/>
    </xf>
    <xf numFmtId="0" fontId="15" fillId="0" borderId="0" xfId="0" applyFont="1"/>
    <xf numFmtId="0" fontId="17" fillId="4" borderId="7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0" fontId="6" fillId="3" borderId="0" xfId="0" applyNumberFormat="1" applyFont="1" applyFill="1" applyBorder="1" applyAlignment="1">
      <alignment horizontal="center" vertical="center"/>
    </xf>
    <xf numFmtId="1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16" fillId="4" borderId="4" xfId="0" applyFont="1" applyFill="1" applyBorder="1" applyAlignment="1">
      <alignment horizontal="center" vertical="center" wrapText="1"/>
    </xf>
    <xf numFmtId="10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22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9" fontId="6" fillId="0" borderId="9" xfId="2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9" fontId="6" fillId="0" borderId="9" xfId="2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wrapText="1"/>
    </xf>
    <xf numFmtId="3" fontId="6" fillId="3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/>
    </xf>
    <xf numFmtId="0" fontId="0" fillId="13" borderId="0" xfId="0" applyFill="1"/>
    <xf numFmtId="166" fontId="2" fillId="7" borderId="31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3" fontId="10" fillId="0" borderId="8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10" fontId="10" fillId="0" borderId="5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9" fontId="6" fillId="0" borderId="2" xfId="2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/>
    </xf>
    <xf numFmtId="166" fontId="8" fillId="0" borderId="13" xfId="0" applyNumberFormat="1" applyFont="1" applyFill="1" applyBorder="1" applyAlignment="1">
      <alignment horizontal="center" vertical="center"/>
    </xf>
    <xf numFmtId="0" fontId="0" fillId="0" borderId="9" xfId="0" applyBorder="1"/>
    <xf numFmtId="0" fontId="22" fillId="0" borderId="9" xfId="0" applyFont="1" applyFill="1" applyBorder="1" applyAlignment="1">
      <alignment horizontal="center" vertical="center"/>
    </xf>
    <xf numFmtId="164" fontId="7" fillId="10" borderId="16" xfId="0" applyNumberFormat="1" applyFont="1" applyFill="1" applyBorder="1" applyAlignment="1">
      <alignment horizontal="center" vertical="center" wrapText="1"/>
    </xf>
    <xf numFmtId="164" fontId="7" fillId="10" borderId="17" xfId="0" applyNumberFormat="1" applyFont="1" applyFill="1" applyBorder="1" applyAlignment="1">
      <alignment horizontal="center" vertical="center" wrapText="1"/>
    </xf>
    <xf numFmtId="164" fontId="7" fillId="10" borderId="18" xfId="0" applyNumberFormat="1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9" fontId="6" fillId="3" borderId="9" xfId="2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/>
    </xf>
    <xf numFmtId="3" fontId="20" fillId="2" borderId="25" xfId="0" applyNumberFormat="1" applyFont="1" applyFill="1" applyBorder="1" applyAlignment="1">
      <alignment horizontal="center" vertical="center"/>
    </xf>
    <xf numFmtId="3" fontId="20" fillId="2" borderId="23" xfId="0" applyNumberFormat="1" applyFont="1" applyFill="1" applyBorder="1" applyAlignment="1">
      <alignment horizontal="center" vertical="center"/>
    </xf>
    <xf numFmtId="3" fontId="20" fillId="2" borderId="24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9" fontId="6" fillId="0" borderId="9" xfId="2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1" fillId="10" borderId="17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3" fontId="20" fillId="9" borderId="1" xfId="0" applyNumberFormat="1" applyFont="1" applyFill="1" applyBorder="1" applyAlignment="1">
      <alignment horizontal="center" vertical="center"/>
    </xf>
    <xf numFmtId="3" fontId="20" fillId="9" borderId="21" xfId="0" applyNumberFormat="1" applyFont="1" applyFill="1" applyBorder="1" applyAlignment="1">
      <alignment horizontal="center" vertical="center"/>
    </xf>
    <xf numFmtId="3" fontId="20" fillId="9" borderId="22" xfId="0" applyNumberFormat="1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horizontal="center" vertical="center" wrapText="1"/>
    </xf>
    <xf numFmtId="0" fontId="21" fillId="13" borderId="21" xfId="0" applyFont="1" applyFill="1" applyBorder="1" applyAlignment="1">
      <alignment horizontal="center" vertical="center" wrapText="1"/>
    </xf>
    <xf numFmtId="0" fontId="21" fillId="13" borderId="22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11" fillId="10" borderId="34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1" fillId="10" borderId="30" xfId="0" applyFont="1" applyFill="1" applyBorder="1" applyAlignment="1">
      <alignment horizontal="center" vertical="center" wrapText="1"/>
    </xf>
    <xf numFmtId="164" fontId="7" fillId="10" borderId="27" xfId="0" applyNumberFormat="1" applyFont="1" applyFill="1" applyBorder="1" applyAlignment="1">
      <alignment horizontal="center" vertical="center" wrapText="1"/>
    </xf>
    <xf numFmtId="164" fontId="7" fillId="10" borderId="14" xfId="0" applyNumberFormat="1" applyFont="1" applyFill="1" applyBorder="1" applyAlignment="1">
      <alignment horizontal="center" vertical="center" wrapText="1"/>
    </xf>
    <xf numFmtId="164" fontId="7" fillId="10" borderId="15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11" fillId="10" borderId="32" xfId="0" applyFont="1" applyFill="1" applyBorder="1" applyAlignment="1">
      <alignment horizontal="center" vertical="center" wrapText="1"/>
    </xf>
    <xf numFmtId="164" fontId="7" fillId="10" borderId="33" xfId="0" applyNumberFormat="1" applyFont="1" applyFill="1" applyBorder="1" applyAlignment="1">
      <alignment horizontal="center" vertical="center" wrapText="1"/>
    </xf>
    <xf numFmtId="164" fontId="7" fillId="10" borderId="21" xfId="0" applyNumberFormat="1" applyFont="1" applyFill="1" applyBorder="1" applyAlignment="1">
      <alignment horizontal="center" vertical="center" wrapText="1"/>
    </xf>
    <xf numFmtId="164" fontId="7" fillId="10" borderId="22" xfId="0" applyNumberFormat="1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2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164" fontId="7" fillId="10" borderId="12" xfId="0" applyNumberFormat="1" applyFont="1" applyFill="1" applyBorder="1" applyAlignment="1">
      <alignment horizontal="center" vertical="center" wrapText="1"/>
    </xf>
    <xf numFmtId="164" fontId="7" fillId="10" borderId="13" xfId="0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9" fontId="6" fillId="0" borderId="2" xfId="2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111"/>
  <sheetViews>
    <sheetView showGridLines="0" tabSelected="1" zoomScale="160" zoomScaleNormal="160" workbookViewId="0">
      <selection activeCell="B11" sqref="B11:B12"/>
    </sheetView>
  </sheetViews>
  <sheetFormatPr baseColWidth="10" defaultRowHeight="15" x14ac:dyDescent="0.25"/>
  <cols>
    <col min="1" max="1" width="3" customWidth="1"/>
    <col min="2" max="2" width="11.42578125" style="59"/>
    <col min="3" max="3" width="7" style="1" customWidth="1"/>
    <col min="4" max="4" width="8.7109375" style="1" customWidth="1"/>
    <col min="5" max="5" width="8.42578125" style="1" customWidth="1"/>
    <col min="6" max="6" width="12.140625" style="1" customWidth="1"/>
    <col min="7" max="7" width="8.42578125" style="1" customWidth="1"/>
    <col min="8" max="8" width="9.28515625" style="1" bestFit="1" customWidth="1"/>
    <col min="9" max="9" width="9" style="1" customWidth="1"/>
    <col min="10" max="10" width="13.85546875" style="1" customWidth="1"/>
    <col min="11" max="11" width="12.42578125" style="1" customWidth="1"/>
    <col min="13" max="13" width="11.42578125" customWidth="1"/>
    <col min="14" max="14" width="14.7109375" bestFit="1" customWidth="1"/>
    <col min="15" max="15" width="13.140625" bestFit="1" customWidth="1"/>
    <col min="16" max="16" width="12.42578125" customWidth="1"/>
    <col min="17" max="17" width="14.7109375" bestFit="1" customWidth="1"/>
  </cols>
  <sheetData>
    <row r="3" spans="2:14" ht="16.5" thickBot="1" x14ac:dyDescent="0.3">
      <c r="F3" s="121" t="s">
        <v>39</v>
      </c>
      <c r="G3" s="122"/>
      <c r="H3" s="122"/>
      <c r="I3" s="122"/>
      <c r="J3" s="123"/>
      <c r="L3" s="102">
        <v>2022</v>
      </c>
      <c r="M3" s="102">
        <v>2023</v>
      </c>
    </row>
    <row r="4" spans="2:14" ht="12.75" customHeight="1" x14ac:dyDescent="0.25">
      <c r="F4" s="22"/>
      <c r="G4" s="23"/>
      <c r="H4" s="23" t="s">
        <v>0</v>
      </c>
      <c r="I4" s="23" t="s">
        <v>1</v>
      </c>
      <c r="J4" s="24" t="s">
        <v>2</v>
      </c>
      <c r="L4" s="78" t="s">
        <v>45</v>
      </c>
      <c r="M4" s="78" t="s">
        <v>45</v>
      </c>
    </row>
    <row r="5" spans="2:14" ht="15.75" thickBot="1" x14ac:dyDescent="0.3">
      <c r="F5" s="25" t="s">
        <v>58</v>
      </c>
      <c r="G5" s="26"/>
      <c r="H5" s="27">
        <v>1000000</v>
      </c>
      <c r="I5" s="28">
        <v>8.8000000000000007</v>
      </c>
      <c r="J5" s="29">
        <f>H5*I5</f>
        <v>8800000</v>
      </c>
      <c r="L5" s="78">
        <v>36</v>
      </c>
      <c r="M5" s="78">
        <v>324</v>
      </c>
      <c r="N5" t="s">
        <v>46</v>
      </c>
    </row>
    <row r="6" spans="2:14" ht="16.5" customHeight="1" thickBot="1" x14ac:dyDescent="0.3">
      <c r="L6" s="78">
        <v>0</v>
      </c>
      <c r="M6" s="78">
        <v>266</v>
      </c>
      <c r="N6" t="s">
        <v>47</v>
      </c>
    </row>
    <row r="7" spans="2:14" ht="21" customHeight="1" x14ac:dyDescent="0.25">
      <c r="B7" s="124" t="s">
        <v>75</v>
      </c>
      <c r="C7" s="125"/>
      <c r="D7" s="125"/>
      <c r="E7" s="125"/>
      <c r="F7" s="125"/>
      <c r="G7" s="125"/>
      <c r="H7" s="125"/>
      <c r="I7" s="125"/>
      <c r="J7" s="125"/>
      <c r="K7" s="126"/>
      <c r="L7" s="111"/>
      <c r="M7" s="112">
        <v>277</v>
      </c>
      <c r="N7" t="s">
        <v>71</v>
      </c>
    </row>
    <row r="8" spans="2:14" s="1" customFormat="1" ht="65.25" customHeight="1" x14ac:dyDescent="0.2">
      <c r="B8" s="54" t="s">
        <v>3</v>
      </c>
      <c r="C8" s="55" t="s">
        <v>4</v>
      </c>
      <c r="D8" s="56" t="s">
        <v>5</v>
      </c>
      <c r="E8" s="55" t="s">
        <v>6</v>
      </c>
      <c r="F8" s="55" t="s">
        <v>7</v>
      </c>
      <c r="G8" s="55" t="s">
        <v>8</v>
      </c>
      <c r="H8" s="56" t="s">
        <v>9</v>
      </c>
      <c r="I8" s="55" t="s">
        <v>10</v>
      </c>
      <c r="J8" s="55" t="s">
        <v>11</v>
      </c>
      <c r="K8" s="57" t="s">
        <v>12</v>
      </c>
    </row>
    <row r="9" spans="2:14" x14ac:dyDescent="0.25">
      <c r="B9" s="127" t="s">
        <v>13</v>
      </c>
      <c r="C9" s="128"/>
      <c r="D9" s="128"/>
      <c r="E9" s="128"/>
      <c r="F9" s="128"/>
      <c r="G9" s="128"/>
      <c r="H9" s="128"/>
      <c r="I9" s="128"/>
      <c r="J9" s="128"/>
      <c r="K9" s="129"/>
    </row>
    <row r="10" spans="2:14" x14ac:dyDescent="0.25">
      <c r="B10" s="130" t="s">
        <v>63</v>
      </c>
      <c r="C10" s="131"/>
      <c r="D10" s="131"/>
      <c r="E10" s="131"/>
      <c r="F10" s="131"/>
      <c r="G10" s="131"/>
      <c r="H10" s="131"/>
      <c r="I10" s="132" t="s">
        <v>64</v>
      </c>
      <c r="J10" s="133"/>
      <c r="K10" s="134"/>
    </row>
    <row r="11" spans="2:14" ht="24" customHeight="1" x14ac:dyDescent="0.25">
      <c r="B11" s="135" t="s">
        <v>26</v>
      </c>
      <c r="C11" s="136">
        <v>8</v>
      </c>
      <c r="D11" s="137">
        <f>$J$5</f>
        <v>8800000</v>
      </c>
      <c r="E11" s="138">
        <v>0.08</v>
      </c>
      <c r="F11" s="137">
        <f>D11*E11</f>
        <v>704000</v>
      </c>
      <c r="G11" s="3">
        <v>0.55969999999999998</v>
      </c>
      <c r="H11" s="139">
        <v>20</v>
      </c>
      <c r="I11" s="80">
        <f>(((((D11+F11)*G11)/30)*H11)/15)*15</f>
        <v>3546259.1999999997</v>
      </c>
      <c r="J11" s="80">
        <f>C11*I11</f>
        <v>28370073.599999998</v>
      </c>
      <c r="K11" s="5">
        <f>J11/30*$L$5</f>
        <v>34044088.319999993</v>
      </c>
    </row>
    <row r="12" spans="2:14" ht="24" customHeight="1" x14ac:dyDescent="0.25">
      <c r="B12" s="135"/>
      <c r="C12" s="136"/>
      <c r="D12" s="137"/>
      <c r="E12" s="138"/>
      <c r="F12" s="137"/>
      <c r="G12" s="3">
        <v>0.44030000000000002</v>
      </c>
      <c r="H12" s="139"/>
      <c r="I12" s="80">
        <f>(((((D11+F11)*G12)/30)*H11)/9)*1</f>
        <v>309971.20000000001</v>
      </c>
      <c r="J12" s="80">
        <f>C11*I12</f>
        <v>2479769.6000000001</v>
      </c>
      <c r="K12" s="5">
        <f>J12/30*$L$5</f>
        <v>2975723.52</v>
      </c>
    </row>
    <row r="13" spans="2:14" ht="16.5" x14ac:dyDescent="0.25">
      <c r="B13" s="85" t="s">
        <v>27</v>
      </c>
      <c r="C13" s="79">
        <v>8</v>
      </c>
      <c r="D13" s="80">
        <f>$J$5</f>
        <v>8800000</v>
      </c>
      <c r="E13" s="81">
        <v>0.08</v>
      </c>
      <c r="F13" s="80">
        <f>D13*E13</f>
        <v>704000</v>
      </c>
      <c r="G13" s="3">
        <v>0.55969999999999998</v>
      </c>
      <c r="H13" s="82">
        <v>4</v>
      </c>
      <c r="I13" s="80">
        <f>(((((D13+F13)*G13)/30)*H13)/15)*12</f>
        <v>567401.47199999995</v>
      </c>
      <c r="J13" s="80">
        <f>C13*I13</f>
        <v>4539211.7759999996</v>
      </c>
      <c r="K13" s="5">
        <f>J13/30*$L$5</f>
        <v>5447054.1311999997</v>
      </c>
    </row>
    <row r="14" spans="2:14" ht="49.5" x14ac:dyDescent="0.25">
      <c r="B14" s="85" t="s">
        <v>73</v>
      </c>
      <c r="C14" s="79">
        <v>5</v>
      </c>
      <c r="D14" s="80">
        <f t="shared" ref="D14:D16" si="0">$J$5</f>
        <v>8800000</v>
      </c>
      <c r="E14" s="81">
        <v>0.08</v>
      </c>
      <c r="F14" s="80">
        <f t="shared" ref="F14" si="1">D14*E14</f>
        <v>704000</v>
      </c>
      <c r="G14" s="30">
        <v>1</v>
      </c>
      <c r="H14" s="82">
        <v>30</v>
      </c>
      <c r="I14" s="80">
        <f>(((((D14+F14)*G14)/30)*H14)/24)*24</f>
        <v>9504000</v>
      </c>
      <c r="J14" s="80">
        <f>C14*I14</f>
        <v>47520000</v>
      </c>
      <c r="K14" s="5">
        <f t="shared" ref="K14:K19" si="2">J14/30*$L$5</f>
        <v>57024000</v>
      </c>
    </row>
    <row r="15" spans="2:14" ht="41.25" x14ac:dyDescent="0.25">
      <c r="B15" s="85" t="s">
        <v>28</v>
      </c>
      <c r="C15" s="79">
        <v>1</v>
      </c>
      <c r="D15" s="80">
        <f t="shared" si="0"/>
        <v>8800000</v>
      </c>
      <c r="E15" s="81">
        <v>0.11</v>
      </c>
      <c r="F15" s="80">
        <f>D15*E15</f>
        <v>968000</v>
      </c>
      <c r="G15" s="6">
        <v>1</v>
      </c>
      <c r="H15" s="82">
        <v>30</v>
      </c>
      <c r="I15" s="80">
        <f>(((((D15+F15)*G15)/30)*H15)/24)*24</f>
        <v>9768000</v>
      </c>
      <c r="J15" s="80">
        <f>C15*I15</f>
        <v>9768000</v>
      </c>
      <c r="K15" s="5">
        <f>J15/30*$L$5</f>
        <v>11721600</v>
      </c>
    </row>
    <row r="16" spans="2:14" ht="33" x14ac:dyDescent="0.25">
      <c r="B16" s="85" t="s">
        <v>29</v>
      </c>
      <c r="C16" s="83">
        <v>1</v>
      </c>
      <c r="D16" s="80">
        <f t="shared" si="0"/>
        <v>8800000</v>
      </c>
      <c r="E16" s="81">
        <v>0.1</v>
      </c>
      <c r="F16" s="80">
        <f t="shared" ref="F16" si="3">D16*E16</f>
        <v>880000</v>
      </c>
      <c r="G16" s="6">
        <v>1</v>
      </c>
      <c r="H16" s="82">
        <v>30</v>
      </c>
      <c r="I16" s="80">
        <f>(((((D16+F16)*G16)/30)*H16)/24)*24</f>
        <v>9680000</v>
      </c>
      <c r="J16" s="80">
        <f>C16*I16</f>
        <v>9680000</v>
      </c>
      <c r="K16" s="5">
        <f>J16/30*$L$5</f>
        <v>11616000</v>
      </c>
    </row>
    <row r="17" spans="2:11" ht="25.5" customHeight="1" x14ac:dyDescent="0.25">
      <c r="B17" s="140" t="s">
        <v>31</v>
      </c>
      <c r="C17" s="117">
        <v>1</v>
      </c>
      <c r="D17" s="118">
        <f>$J$5</f>
        <v>8800000</v>
      </c>
      <c r="E17" s="119">
        <v>0.11</v>
      </c>
      <c r="F17" s="118">
        <f>D17*E17</f>
        <v>968000</v>
      </c>
      <c r="G17" s="31">
        <v>0.55969999999999998</v>
      </c>
      <c r="H17" s="120">
        <v>20</v>
      </c>
      <c r="I17" s="84">
        <f>(((((D17+F17)*G17)/30)*H17)/15)*15</f>
        <v>3644766.3999999994</v>
      </c>
      <c r="J17" s="84">
        <f>C17*I17</f>
        <v>3644766.3999999994</v>
      </c>
      <c r="K17" s="5">
        <f>J17/30*$L$5</f>
        <v>4373719.68</v>
      </c>
    </row>
    <row r="18" spans="2:11" ht="25.5" customHeight="1" x14ac:dyDescent="0.25">
      <c r="B18" s="140"/>
      <c r="C18" s="117"/>
      <c r="D18" s="118"/>
      <c r="E18" s="119"/>
      <c r="F18" s="118"/>
      <c r="G18" s="31">
        <v>0.44030000000000002</v>
      </c>
      <c r="H18" s="120"/>
      <c r="I18" s="84">
        <f>(((((D17+F17)*G18)/30)*H17)/9)*1</f>
        <v>318581.51111111115</v>
      </c>
      <c r="J18" s="84">
        <f>C17*I18</f>
        <v>318581.51111111115</v>
      </c>
      <c r="K18" s="5">
        <f>J18/30*$L$5</f>
        <v>382297.81333333335</v>
      </c>
    </row>
    <row r="19" spans="2:11" ht="25.5" customHeight="1" x14ac:dyDescent="0.25">
      <c r="B19" s="85" t="s">
        <v>35</v>
      </c>
      <c r="C19" s="79">
        <v>1</v>
      </c>
      <c r="D19" s="80">
        <f>$J$5</f>
        <v>8800000</v>
      </c>
      <c r="E19" s="81">
        <v>0.11</v>
      </c>
      <c r="F19" s="80">
        <f>D19*E19</f>
        <v>968000</v>
      </c>
      <c r="G19" s="3">
        <v>0.55969999999999998</v>
      </c>
      <c r="H19" s="82">
        <v>4</v>
      </c>
      <c r="I19" s="80">
        <f>(((((D19+F19)*G19)/30)*H19)/15)*12</f>
        <v>583162.62399999984</v>
      </c>
      <c r="J19" s="80">
        <f>C19*I19</f>
        <v>583162.62399999984</v>
      </c>
      <c r="K19" s="5">
        <f t="shared" si="2"/>
        <v>699795.14879999985</v>
      </c>
    </row>
    <row r="20" spans="2:11" ht="19.5" hidden="1" customHeight="1" x14ac:dyDescent="0.25">
      <c r="B20" s="141" t="s">
        <v>55</v>
      </c>
      <c r="C20" s="142"/>
      <c r="D20" s="142"/>
      <c r="E20" s="142"/>
      <c r="F20" s="142"/>
      <c r="G20" s="142"/>
      <c r="H20" s="143"/>
      <c r="I20" s="113" t="s">
        <v>49</v>
      </c>
      <c r="J20" s="114"/>
      <c r="K20" s="115"/>
    </row>
    <row r="21" spans="2:11" ht="22.5" hidden="1" customHeight="1" x14ac:dyDescent="0.25">
      <c r="B21" s="116" t="s">
        <v>30</v>
      </c>
      <c r="C21" s="117">
        <v>1</v>
      </c>
      <c r="D21" s="118">
        <f t="shared" ref="D21" si="4">$J$5</f>
        <v>8800000</v>
      </c>
      <c r="E21" s="119">
        <v>0.1</v>
      </c>
      <c r="F21" s="118">
        <f>E21*D21</f>
        <v>880000</v>
      </c>
      <c r="G21" s="31">
        <v>0.55969999999999998</v>
      </c>
      <c r="H21" s="120">
        <v>20</v>
      </c>
      <c r="I21" s="84">
        <f>(((((D21+F21)*G21)/30)*H21)/15)*15</f>
        <v>3611930.6666666665</v>
      </c>
      <c r="J21" s="84">
        <f>C21*I21</f>
        <v>3611930.6666666665</v>
      </c>
      <c r="K21" s="32">
        <f>J21/30*$L$6</f>
        <v>0</v>
      </c>
    </row>
    <row r="22" spans="2:11" ht="22.5" hidden="1" customHeight="1" x14ac:dyDescent="0.25">
      <c r="B22" s="116"/>
      <c r="C22" s="117"/>
      <c r="D22" s="118"/>
      <c r="E22" s="119"/>
      <c r="F22" s="118"/>
      <c r="G22" s="31">
        <v>0.44030000000000002</v>
      </c>
      <c r="H22" s="120"/>
      <c r="I22" s="84">
        <f>(((((D21+F21)*G22)/30)*H21)/9)*1</f>
        <v>315711.40740740742</v>
      </c>
      <c r="J22" s="84">
        <f>C21*I22</f>
        <v>315711.40740740742</v>
      </c>
      <c r="K22" s="32">
        <f>J22/30*$L$6</f>
        <v>0</v>
      </c>
    </row>
    <row r="23" spans="2:11" ht="24" hidden="1" customHeight="1" x14ac:dyDescent="0.25">
      <c r="B23" s="85" t="s">
        <v>27</v>
      </c>
      <c r="C23" s="79">
        <v>1</v>
      </c>
      <c r="D23" s="80">
        <f>$J$5</f>
        <v>8800000</v>
      </c>
      <c r="E23" s="81">
        <v>0.11</v>
      </c>
      <c r="F23" s="80">
        <f>D23*E23</f>
        <v>968000</v>
      </c>
      <c r="G23" s="3">
        <v>0.55969999999999998</v>
      </c>
      <c r="H23" s="82">
        <v>4</v>
      </c>
      <c r="I23" s="80">
        <f>(((((D23+F23)*G23)/30)*H23)/15)*12</f>
        <v>583162.62399999984</v>
      </c>
      <c r="J23" s="80">
        <f>C23*I23</f>
        <v>583162.62399999984</v>
      </c>
      <c r="K23" s="5">
        <f>J23/30*$L$6</f>
        <v>0</v>
      </c>
    </row>
    <row r="24" spans="2:11" ht="24" hidden="1" customHeight="1" x14ac:dyDescent="0.25">
      <c r="B24" s="140" t="s">
        <v>31</v>
      </c>
      <c r="C24" s="136">
        <v>1</v>
      </c>
      <c r="D24" s="137">
        <f t="shared" ref="D24" si="5">$J$5</f>
        <v>8800000</v>
      </c>
      <c r="E24" s="138">
        <v>0.11</v>
      </c>
      <c r="F24" s="137">
        <f>E24*D24</f>
        <v>968000</v>
      </c>
      <c r="G24" s="3">
        <v>0.55969999999999998</v>
      </c>
      <c r="H24" s="139">
        <v>20</v>
      </c>
      <c r="I24" s="80">
        <f>(((((D24+F24)*G24)/30)*H24)/15)*15</f>
        <v>3644766.3999999994</v>
      </c>
      <c r="J24" s="80">
        <f>C24*I24</f>
        <v>3644766.3999999994</v>
      </c>
      <c r="K24" s="5">
        <f t="shared" ref="K24:K26" si="6">J24/30*$L$6</f>
        <v>0</v>
      </c>
    </row>
    <row r="25" spans="2:11" ht="24" hidden="1" customHeight="1" x14ac:dyDescent="0.25">
      <c r="B25" s="140"/>
      <c r="C25" s="136"/>
      <c r="D25" s="137"/>
      <c r="E25" s="138"/>
      <c r="F25" s="137"/>
      <c r="G25" s="3">
        <v>0.44030000000000002</v>
      </c>
      <c r="H25" s="139"/>
      <c r="I25" s="80">
        <f>(((((D24+F24)*G25)/30)*H24)/9)*1</f>
        <v>318581.51111111115</v>
      </c>
      <c r="J25" s="80">
        <f>C24*I25</f>
        <v>318581.51111111115</v>
      </c>
      <c r="K25" s="5">
        <f t="shared" si="6"/>
        <v>0</v>
      </c>
    </row>
    <row r="26" spans="2:11" ht="24" hidden="1" customHeight="1" thickBot="1" x14ac:dyDescent="0.3">
      <c r="B26" s="70" t="s">
        <v>35</v>
      </c>
      <c r="C26" s="10">
        <v>1</v>
      </c>
      <c r="D26" s="11">
        <f>$J$5</f>
        <v>8800000</v>
      </c>
      <c r="E26" s="12">
        <v>0.11</v>
      </c>
      <c r="F26" s="11">
        <f>D26*E26</f>
        <v>968000</v>
      </c>
      <c r="G26" s="71">
        <v>0.55969999999999998</v>
      </c>
      <c r="H26" s="72">
        <v>4</v>
      </c>
      <c r="I26" s="11">
        <f>(((((D26+F26)*G26)/30)*H26)/15)*12</f>
        <v>583162.62399999984</v>
      </c>
      <c r="J26" s="11">
        <f>C26*I26</f>
        <v>583162.62399999984</v>
      </c>
      <c r="K26" s="73">
        <f t="shared" si="6"/>
        <v>0</v>
      </c>
    </row>
    <row r="27" spans="2:11" s="69" customFormat="1" ht="12" customHeight="1" thickBot="1" x14ac:dyDescent="0.3">
      <c r="B27" s="64"/>
      <c r="C27" s="20"/>
      <c r="D27" s="13"/>
      <c r="E27" s="14"/>
      <c r="F27" s="13"/>
      <c r="G27" s="15"/>
      <c r="H27" s="16"/>
      <c r="I27" s="13"/>
      <c r="J27" s="13"/>
      <c r="K27" s="21"/>
    </row>
    <row r="28" spans="2:11" x14ac:dyDescent="0.25">
      <c r="B28" s="170" t="s">
        <v>14</v>
      </c>
      <c r="C28" s="171"/>
      <c r="D28" s="171"/>
      <c r="E28" s="171"/>
      <c r="F28" s="171"/>
      <c r="G28" s="171"/>
      <c r="H28" s="171"/>
      <c r="I28" s="171"/>
      <c r="J28" s="171"/>
      <c r="K28" s="172"/>
    </row>
    <row r="29" spans="2:11" ht="15.75" thickBot="1" x14ac:dyDescent="0.3">
      <c r="B29" s="173" t="s">
        <v>63</v>
      </c>
      <c r="C29" s="174"/>
      <c r="D29" s="174"/>
      <c r="E29" s="174"/>
      <c r="F29" s="174"/>
      <c r="G29" s="174"/>
      <c r="H29" s="174"/>
      <c r="I29" s="175" t="s">
        <v>64</v>
      </c>
      <c r="J29" s="176"/>
      <c r="K29" s="177"/>
    </row>
    <row r="30" spans="2:11" ht="33" x14ac:dyDescent="0.25">
      <c r="B30" s="60" t="s">
        <v>32</v>
      </c>
      <c r="C30" s="7">
        <v>2</v>
      </c>
      <c r="D30" s="8">
        <f t="shared" ref="D30:D31" si="7">$J$5</f>
        <v>8800000</v>
      </c>
      <c r="E30" s="9">
        <v>0.08</v>
      </c>
      <c r="F30" s="8">
        <f>D30*E30</f>
        <v>704000</v>
      </c>
      <c r="G30" s="33">
        <v>1</v>
      </c>
      <c r="H30" s="34">
        <v>30</v>
      </c>
      <c r="I30" s="84">
        <f>(((((D30+F30)*G30)/30)*H30)/24)*24</f>
        <v>9504000</v>
      </c>
      <c r="J30" s="84">
        <f>C30*I30</f>
        <v>19008000</v>
      </c>
      <c r="K30" s="32">
        <f>J30/30*$L$5</f>
        <v>22809600</v>
      </c>
    </row>
    <row r="31" spans="2:11" ht="24" customHeight="1" x14ac:dyDescent="0.25">
      <c r="B31" s="140" t="s">
        <v>33</v>
      </c>
      <c r="C31" s="136">
        <v>1</v>
      </c>
      <c r="D31" s="137">
        <f t="shared" si="7"/>
        <v>8800000</v>
      </c>
      <c r="E31" s="138">
        <v>0.11</v>
      </c>
      <c r="F31" s="137">
        <f>E31*D31</f>
        <v>968000</v>
      </c>
      <c r="G31" s="31">
        <v>0.55969999999999998</v>
      </c>
      <c r="H31" s="120">
        <v>20</v>
      </c>
      <c r="I31" s="84">
        <f>(((((D31+F31)*G31)/30)*H31)/15)*15</f>
        <v>3644766.3999999994</v>
      </c>
      <c r="J31" s="84">
        <f>C31*I31</f>
        <v>3644766.3999999994</v>
      </c>
      <c r="K31" s="32">
        <f>J31/30*$L$5</f>
        <v>4373719.68</v>
      </c>
    </row>
    <row r="32" spans="2:11" ht="24" customHeight="1" x14ac:dyDescent="0.25">
      <c r="B32" s="140"/>
      <c r="C32" s="136"/>
      <c r="D32" s="137"/>
      <c r="E32" s="138"/>
      <c r="F32" s="137"/>
      <c r="G32" s="31">
        <v>0.44030000000000002</v>
      </c>
      <c r="H32" s="120"/>
      <c r="I32" s="84">
        <f>(((((D31+F31)*G32)/30)*H31)/9)*1</f>
        <v>318581.51111111115</v>
      </c>
      <c r="J32" s="84">
        <f>C31*I32</f>
        <v>318581.51111111115</v>
      </c>
      <c r="K32" s="32">
        <f>J32/30*$L$5</f>
        <v>382297.81333333335</v>
      </c>
    </row>
    <row r="33" spans="2:11" ht="33.75" thickBot="1" x14ac:dyDescent="0.3">
      <c r="B33" s="61" t="s">
        <v>34</v>
      </c>
      <c r="C33" s="10">
        <v>1</v>
      </c>
      <c r="D33" s="11">
        <f t="shared" ref="D33" si="8">$J$5</f>
        <v>8800000</v>
      </c>
      <c r="E33" s="12">
        <v>0.11</v>
      </c>
      <c r="F33" s="11">
        <f>D33*E33</f>
        <v>968000</v>
      </c>
      <c r="G33" s="37">
        <v>0.55969999999999998</v>
      </c>
      <c r="H33" s="38">
        <v>4</v>
      </c>
      <c r="I33" s="39">
        <f>(((((D33+F33)*G33)/30)*H33)/15)*12</f>
        <v>583162.62399999984</v>
      </c>
      <c r="J33" s="39">
        <f>C33*I33</f>
        <v>583162.62399999984</v>
      </c>
      <c r="K33" s="40">
        <f>J33/30*$L$5</f>
        <v>699795.14879999985</v>
      </c>
    </row>
    <row r="34" spans="2:11" ht="19.5" hidden="1" customHeight="1" x14ac:dyDescent="0.25">
      <c r="B34" s="164" t="s">
        <v>55</v>
      </c>
      <c r="C34" s="165"/>
      <c r="D34" s="165"/>
      <c r="E34" s="165"/>
      <c r="F34" s="165"/>
      <c r="G34" s="165"/>
      <c r="H34" s="166"/>
      <c r="I34" s="167" t="s">
        <v>49</v>
      </c>
      <c r="J34" s="168"/>
      <c r="K34" s="169"/>
    </row>
    <row r="35" spans="2:11" ht="34.5" hidden="1" customHeight="1" thickBot="1" x14ac:dyDescent="0.3">
      <c r="B35" s="95" t="s">
        <v>48</v>
      </c>
      <c r="C35" s="10">
        <v>1</v>
      </c>
      <c r="D35" s="11">
        <f t="shared" ref="D35" si="9">$J$5</f>
        <v>8800000</v>
      </c>
      <c r="E35" s="12">
        <v>0.1</v>
      </c>
      <c r="F35" s="11">
        <f>E35*D35</f>
        <v>880000</v>
      </c>
      <c r="G35" s="71">
        <v>0.55969999999999998</v>
      </c>
      <c r="H35" s="72">
        <v>20</v>
      </c>
      <c r="I35" s="11">
        <f>(((((D35+F35)*G35)/30)*H35)/15)*12</f>
        <v>2889544.5333333332</v>
      </c>
      <c r="J35" s="11">
        <f>C35*I35</f>
        <v>2889544.5333333332</v>
      </c>
      <c r="K35" s="40">
        <f>J35/30*$L$6</f>
        <v>0</v>
      </c>
    </row>
    <row r="36" spans="2:11" ht="10.5" customHeight="1" thickBot="1" x14ac:dyDescent="0.3"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2:11" ht="15" customHeight="1" x14ac:dyDescent="0.25">
      <c r="B37" s="150" t="s">
        <v>36</v>
      </c>
      <c r="C37" s="151"/>
      <c r="D37" s="151"/>
      <c r="E37" s="151"/>
      <c r="F37" s="151"/>
      <c r="G37" s="151"/>
      <c r="H37" s="151"/>
      <c r="I37" s="151"/>
      <c r="J37" s="151"/>
      <c r="K37" s="152"/>
    </row>
    <row r="38" spans="2:11" ht="15" customHeight="1" thickBot="1" x14ac:dyDescent="0.3">
      <c r="B38" s="153" t="s">
        <v>63</v>
      </c>
      <c r="C38" s="154"/>
      <c r="D38" s="154"/>
      <c r="E38" s="154"/>
      <c r="F38" s="154"/>
      <c r="G38" s="154"/>
      <c r="H38" s="154"/>
      <c r="I38" s="155" t="s">
        <v>64</v>
      </c>
      <c r="J38" s="156"/>
      <c r="K38" s="157"/>
    </row>
    <row r="39" spans="2:11" ht="39" customHeight="1" x14ac:dyDescent="0.25">
      <c r="B39" s="60" t="s">
        <v>51</v>
      </c>
      <c r="C39" s="103">
        <v>1</v>
      </c>
      <c r="D39" s="104">
        <f t="shared" ref="D39:D41" si="10">$J$5</f>
        <v>8800000</v>
      </c>
      <c r="E39" s="105">
        <v>0.1</v>
      </c>
      <c r="F39" s="104">
        <f>D39*E39</f>
        <v>880000</v>
      </c>
      <c r="G39" s="33">
        <v>1</v>
      </c>
      <c r="H39" s="34">
        <v>30</v>
      </c>
      <c r="I39" s="35">
        <f>(((((D39+F39)*G39)/30)*H39)/24)*24</f>
        <v>9680000</v>
      </c>
      <c r="J39" s="35">
        <f>C39*I39</f>
        <v>9680000</v>
      </c>
      <c r="K39" s="36">
        <f>J39/30*$L$5</f>
        <v>11616000</v>
      </c>
    </row>
    <row r="40" spans="2:11" ht="38.25" customHeight="1" x14ac:dyDescent="0.25">
      <c r="B40" s="90" t="s">
        <v>32</v>
      </c>
      <c r="C40" s="87">
        <v>1</v>
      </c>
      <c r="D40" s="88">
        <f t="shared" si="10"/>
        <v>8800000</v>
      </c>
      <c r="E40" s="89">
        <v>0.08</v>
      </c>
      <c r="F40" s="88">
        <f>D40*E40</f>
        <v>704000</v>
      </c>
      <c r="G40" s="30">
        <v>1</v>
      </c>
      <c r="H40" s="92">
        <v>30</v>
      </c>
      <c r="I40" s="91">
        <f>(((((D40+F40)*G40)/30)*H40)/24)*24</f>
        <v>9504000</v>
      </c>
      <c r="J40" s="91">
        <f>C40*I40</f>
        <v>9504000</v>
      </c>
      <c r="K40" s="32">
        <f>J40/30*$L$5</f>
        <v>11404800</v>
      </c>
    </row>
    <row r="41" spans="2:11" ht="24" customHeight="1" x14ac:dyDescent="0.25">
      <c r="B41" s="140" t="s">
        <v>33</v>
      </c>
      <c r="C41" s="136">
        <v>1</v>
      </c>
      <c r="D41" s="137">
        <f t="shared" si="10"/>
        <v>8800000</v>
      </c>
      <c r="E41" s="138">
        <v>0.11</v>
      </c>
      <c r="F41" s="137">
        <f>E41*D41</f>
        <v>968000</v>
      </c>
      <c r="G41" s="31">
        <v>0.55969999999999998</v>
      </c>
      <c r="H41" s="120">
        <v>20</v>
      </c>
      <c r="I41" s="91">
        <f>(((((D41+F41)*G41)/30)*H41)/15)*15</f>
        <v>3644766.3999999994</v>
      </c>
      <c r="J41" s="91">
        <f>C41*I41</f>
        <v>3644766.3999999994</v>
      </c>
      <c r="K41" s="32">
        <f>J41/30*$L$5</f>
        <v>4373719.68</v>
      </c>
    </row>
    <row r="42" spans="2:11" ht="24" customHeight="1" x14ac:dyDescent="0.25">
      <c r="B42" s="140"/>
      <c r="C42" s="136"/>
      <c r="D42" s="137"/>
      <c r="E42" s="138"/>
      <c r="F42" s="137"/>
      <c r="G42" s="31">
        <v>0.44030000000000002</v>
      </c>
      <c r="H42" s="120"/>
      <c r="I42" s="91">
        <f>(((((D41+F41)*G42)/30)*H41)/9)*1</f>
        <v>318581.51111111115</v>
      </c>
      <c r="J42" s="91">
        <f>C41*I42</f>
        <v>318581.51111111115</v>
      </c>
      <c r="K42" s="32">
        <f>J42/30*$L$5</f>
        <v>382297.81333333335</v>
      </c>
    </row>
    <row r="43" spans="2:11" ht="27.75" customHeight="1" thickBot="1" x14ac:dyDescent="0.3">
      <c r="B43" s="61" t="s">
        <v>34</v>
      </c>
      <c r="C43" s="10">
        <v>1</v>
      </c>
      <c r="D43" s="11">
        <f t="shared" ref="D43" si="11">$J$5</f>
        <v>8800000</v>
      </c>
      <c r="E43" s="12">
        <v>0.11</v>
      </c>
      <c r="F43" s="11">
        <f>D43*E43</f>
        <v>968000</v>
      </c>
      <c r="G43" s="37">
        <v>0.55969999999999998</v>
      </c>
      <c r="H43" s="38">
        <v>4</v>
      </c>
      <c r="I43" s="39">
        <f>(((((D43+F43)*G43)/30)*H43)/15)*12</f>
        <v>583162.62399999984</v>
      </c>
      <c r="J43" s="39">
        <f>C43*I43</f>
        <v>583162.62399999984</v>
      </c>
      <c r="K43" s="40">
        <f t="shared" ref="K43" si="12">J43/30*$L$5</f>
        <v>699795.14879999985</v>
      </c>
    </row>
    <row r="44" spans="2:11" ht="21" hidden="1" customHeight="1" x14ac:dyDescent="0.25">
      <c r="B44" s="158" t="s">
        <v>55</v>
      </c>
      <c r="C44" s="159"/>
      <c r="D44" s="159"/>
      <c r="E44" s="159"/>
      <c r="F44" s="159"/>
      <c r="G44" s="159"/>
      <c r="H44" s="160"/>
      <c r="I44" s="161" t="s">
        <v>50</v>
      </c>
      <c r="J44" s="162"/>
      <c r="K44" s="163"/>
    </row>
    <row r="45" spans="2:11" ht="20.25" hidden="1" customHeight="1" x14ac:dyDescent="0.25">
      <c r="B45" s="116" t="s">
        <v>37</v>
      </c>
      <c r="C45" s="136">
        <v>1</v>
      </c>
      <c r="D45" s="137">
        <f t="shared" ref="D45" si="13">$J$5</f>
        <v>8800000</v>
      </c>
      <c r="E45" s="138">
        <v>0.1</v>
      </c>
      <c r="F45" s="137">
        <f>E45*D45</f>
        <v>880000</v>
      </c>
      <c r="G45" s="3">
        <v>0.55969999999999998</v>
      </c>
      <c r="H45" s="139">
        <v>20</v>
      </c>
      <c r="I45" s="76">
        <f>(((((D45+F45)*G45)/30)*H45)/15)*15</f>
        <v>3611930.6666666665</v>
      </c>
      <c r="J45" s="76">
        <f>C45*I45</f>
        <v>3611930.6666666665</v>
      </c>
      <c r="K45" s="32">
        <f>J45/30*$L$6</f>
        <v>0</v>
      </c>
    </row>
    <row r="46" spans="2:11" ht="20.25" hidden="1" customHeight="1" x14ac:dyDescent="0.25">
      <c r="B46" s="116"/>
      <c r="C46" s="136"/>
      <c r="D46" s="137"/>
      <c r="E46" s="138"/>
      <c r="F46" s="137"/>
      <c r="G46" s="3">
        <v>0.44030000000000002</v>
      </c>
      <c r="H46" s="139"/>
      <c r="I46" s="76">
        <f>(((((D45+F45)*G46)/30)*H45)/9)*1</f>
        <v>315711.40740740742</v>
      </c>
      <c r="J46" s="76">
        <f>C45*I46</f>
        <v>315711.40740740742</v>
      </c>
      <c r="K46" s="32">
        <f t="shared" ref="K46:K47" si="14">J46/30*$L$6</f>
        <v>0</v>
      </c>
    </row>
    <row r="47" spans="2:11" ht="30.75" hidden="1" customHeight="1" thickBot="1" x14ac:dyDescent="0.3">
      <c r="B47" s="70" t="s">
        <v>38</v>
      </c>
      <c r="C47" s="10">
        <v>1</v>
      </c>
      <c r="D47" s="11">
        <f>$J$5</f>
        <v>8800000</v>
      </c>
      <c r="E47" s="12">
        <v>0.11</v>
      </c>
      <c r="F47" s="11">
        <f>D47*E47</f>
        <v>968000</v>
      </c>
      <c r="G47" s="71">
        <v>0.55969999999999998</v>
      </c>
      <c r="H47" s="72">
        <v>4</v>
      </c>
      <c r="I47" s="11">
        <f>(((((D47+F47)*G47)/30)*H47)/15)*12</f>
        <v>583162.62399999984</v>
      </c>
      <c r="J47" s="11">
        <f t="shared" ref="J47" si="15">C47*I47</f>
        <v>583162.62399999984</v>
      </c>
      <c r="K47" s="40">
        <f t="shared" si="14"/>
        <v>0</v>
      </c>
    </row>
    <row r="48" spans="2:11" x14ac:dyDescent="0.25">
      <c r="B48" s="180" t="s">
        <v>15</v>
      </c>
      <c r="C48" s="181"/>
      <c r="D48" s="181"/>
      <c r="E48" s="181"/>
      <c r="F48" s="181"/>
      <c r="G48" s="181"/>
      <c r="H48" s="181"/>
      <c r="I48" s="181"/>
      <c r="J48" s="182"/>
      <c r="K48" s="42">
        <f>SUM(K11:K19)+SUM(K21:K26)+SUM(K30:K33)+SUM(K35:K35)+SUM(K39:K43)+SUM(K45:K47)</f>
        <v>185026303.8976</v>
      </c>
    </row>
    <row r="49" spans="2:13" x14ac:dyDescent="0.25">
      <c r="B49" s="183" t="s">
        <v>16</v>
      </c>
      <c r="C49" s="184"/>
      <c r="D49" s="184"/>
      <c r="E49" s="184"/>
      <c r="F49" s="184"/>
      <c r="G49" s="184"/>
      <c r="H49" s="184"/>
      <c r="I49" s="184"/>
      <c r="J49" s="184"/>
      <c r="K49" s="43">
        <f>K48*10%</f>
        <v>18502630.389759999</v>
      </c>
    </row>
    <row r="50" spans="2:13" x14ac:dyDescent="0.25">
      <c r="B50" s="183" t="s">
        <v>17</v>
      </c>
      <c r="C50" s="184"/>
      <c r="D50" s="184"/>
      <c r="E50" s="184"/>
      <c r="F50" s="184"/>
      <c r="G50" s="184"/>
      <c r="H50" s="184"/>
      <c r="I50" s="184"/>
      <c r="J50" s="184"/>
      <c r="K50" s="43">
        <f>K49*19%</f>
        <v>3515499.7740543997</v>
      </c>
    </row>
    <row r="51" spans="2:13" x14ac:dyDescent="0.25">
      <c r="B51" s="185" t="s">
        <v>44</v>
      </c>
      <c r="C51" s="186"/>
      <c r="D51" s="186"/>
      <c r="E51" s="186"/>
      <c r="F51" s="186"/>
      <c r="G51" s="186"/>
      <c r="H51" s="186"/>
      <c r="I51" s="186"/>
      <c r="J51" s="186"/>
      <c r="K51" s="44">
        <f>K48+K50</f>
        <v>188541803.6716544</v>
      </c>
    </row>
    <row r="52" spans="2:13" ht="33" customHeight="1" x14ac:dyDescent="0.25">
      <c r="B52" s="189" t="s">
        <v>18</v>
      </c>
      <c r="C52" s="191" t="s">
        <v>52</v>
      </c>
      <c r="D52" s="192"/>
      <c r="E52" s="107">
        <v>8</v>
      </c>
      <c r="F52" s="108" t="s">
        <v>20</v>
      </c>
      <c r="G52" s="109">
        <v>200000</v>
      </c>
      <c r="H52" s="108" t="s">
        <v>19</v>
      </c>
      <c r="I52" s="109">
        <f>E52*G52</f>
        <v>1600000</v>
      </c>
      <c r="J52" s="108" t="s">
        <v>24</v>
      </c>
      <c r="K52" s="110">
        <f>I52*12</f>
        <v>19200000</v>
      </c>
    </row>
    <row r="53" spans="2:13" ht="35.25" customHeight="1" x14ac:dyDescent="0.25">
      <c r="B53" s="190"/>
      <c r="C53" s="187" t="s">
        <v>53</v>
      </c>
      <c r="D53" s="188"/>
      <c r="E53" s="17">
        <v>4</v>
      </c>
      <c r="F53" s="17" t="s">
        <v>20</v>
      </c>
      <c r="G53" s="4">
        <v>50000</v>
      </c>
      <c r="H53" s="17" t="s">
        <v>19</v>
      </c>
      <c r="I53" s="4">
        <f>E53*G53</f>
        <v>200000</v>
      </c>
      <c r="J53" s="17" t="s">
        <v>25</v>
      </c>
      <c r="K53" s="18">
        <f>I53*12</f>
        <v>2400000</v>
      </c>
    </row>
    <row r="54" spans="2:13" x14ac:dyDescent="0.25">
      <c r="B54" s="183" t="s">
        <v>21</v>
      </c>
      <c r="C54" s="184"/>
      <c r="D54" s="184"/>
      <c r="E54" s="184"/>
      <c r="F54" s="184"/>
      <c r="G54" s="184"/>
      <c r="H54" s="184"/>
      <c r="I54" s="184"/>
      <c r="J54" s="184"/>
      <c r="K54" s="43">
        <f>SUM(K52:K53)</f>
        <v>21600000</v>
      </c>
    </row>
    <row r="55" spans="2:13" ht="15.75" thickBot="1" x14ac:dyDescent="0.3">
      <c r="B55" s="193" t="s">
        <v>43</v>
      </c>
      <c r="C55" s="194"/>
      <c r="D55" s="194"/>
      <c r="E55" s="194"/>
      <c r="F55" s="194"/>
      <c r="G55" s="194"/>
      <c r="H55" s="194"/>
      <c r="I55" s="194"/>
      <c r="J55" s="194"/>
      <c r="K55" s="45">
        <f>K51+K54</f>
        <v>210141803.6716544</v>
      </c>
      <c r="M55" s="77"/>
    </row>
    <row r="56" spans="2:13" x14ac:dyDescent="0.25">
      <c r="B56" s="65"/>
      <c r="C56" s="65"/>
      <c r="D56" s="65"/>
      <c r="E56" s="65"/>
      <c r="F56" s="65"/>
      <c r="G56" s="65"/>
      <c r="H56" s="65"/>
      <c r="I56" s="65"/>
      <c r="J56" s="65"/>
      <c r="K56" s="74"/>
    </row>
    <row r="57" spans="2:13" ht="3" customHeight="1" thickBot="1" x14ac:dyDescent="0.3">
      <c r="B57" s="62"/>
      <c r="C57" s="2"/>
      <c r="D57" s="2"/>
      <c r="E57" s="2"/>
      <c r="F57" s="2"/>
      <c r="G57" s="2"/>
      <c r="H57" s="2"/>
      <c r="I57" s="2"/>
      <c r="J57" s="2"/>
    </row>
    <row r="58" spans="2:13" ht="15.75" x14ac:dyDescent="0.25">
      <c r="B58" s="62"/>
      <c r="C58" s="2"/>
      <c r="D58" s="2"/>
      <c r="E58" s="2"/>
      <c r="F58" s="144" t="s">
        <v>40</v>
      </c>
      <c r="G58" s="145"/>
      <c r="H58" s="145"/>
      <c r="I58" s="145"/>
      <c r="J58" s="146"/>
      <c r="K58" s="19"/>
    </row>
    <row r="59" spans="2:13" x14ac:dyDescent="0.25">
      <c r="B59" s="62"/>
      <c r="C59" s="2"/>
      <c r="D59" s="2"/>
      <c r="E59" s="2"/>
      <c r="F59" s="96"/>
      <c r="G59" s="46" t="s">
        <v>22</v>
      </c>
      <c r="H59" s="46" t="s">
        <v>0</v>
      </c>
      <c r="I59" s="46" t="s">
        <v>1</v>
      </c>
      <c r="J59" s="97" t="s">
        <v>2</v>
      </c>
      <c r="K59" s="19"/>
    </row>
    <row r="60" spans="2:13" x14ac:dyDescent="0.25">
      <c r="B60" s="62"/>
      <c r="C60" s="2"/>
      <c r="D60" s="2"/>
      <c r="E60" s="2"/>
      <c r="F60" s="98" t="s">
        <v>58</v>
      </c>
      <c r="G60" s="47"/>
      <c r="H60" s="48">
        <f>H5</f>
        <v>1000000</v>
      </c>
      <c r="I60" s="49">
        <v>8.8000000000000007</v>
      </c>
      <c r="J60" s="99">
        <f>H60*I60</f>
        <v>8800000</v>
      </c>
      <c r="K60" s="19"/>
    </row>
    <row r="61" spans="2:13" ht="15.75" thickBot="1" x14ac:dyDescent="0.3">
      <c r="B61" s="62"/>
      <c r="C61" s="2"/>
      <c r="D61" s="2"/>
      <c r="E61" s="2"/>
      <c r="F61" s="100" t="s">
        <v>59</v>
      </c>
      <c r="G61" s="101">
        <v>0.2</v>
      </c>
      <c r="H61" s="27">
        <f>H60*(1+G61)</f>
        <v>1200000</v>
      </c>
      <c r="I61" s="28">
        <v>8.8000000000000007</v>
      </c>
      <c r="J61" s="29">
        <f>H61*I61</f>
        <v>10560000</v>
      </c>
      <c r="K61" s="19"/>
    </row>
    <row r="62" spans="2:13" ht="11.25" customHeight="1" thickBot="1" x14ac:dyDescent="0.3">
      <c r="B62" s="62"/>
      <c r="C62" s="2"/>
      <c r="D62" s="2"/>
      <c r="E62" s="2"/>
      <c r="F62" s="2"/>
      <c r="G62" s="2"/>
      <c r="H62" s="2"/>
      <c r="I62" s="2"/>
      <c r="J62" s="2"/>
      <c r="K62" s="19"/>
    </row>
    <row r="63" spans="2:13" s="93" customFormat="1" ht="15.75" x14ac:dyDescent="0.25">
      <c r="B63" s="147">
        <v>2023</v>
      </c>
      <c r="C63" s="148"/>
      <c r="D63" s="148"/>
      <c r="E63" s="148"/>
      <c r="F63" s="148"/>
      <c r="G63" s="148"/>
      <c r="H63" s="148"/>
      <c r="I63" s="148"/>
      <c r="J63" s="148"/>
      <c r="K63" s="149"/>
    </row>
    <row r="64" spans="2:13" ht="30" customHeight="1" x14ac:dyDescent="0.25">
      <c r="B64" s="211" t="s">
        <v>57</v>
      </c>
      <c r="C64" s="212"/>
      <c r="D64" s="212"/>
      <c r="E64" s="212"/>
      <c r="F64" s="212"/>
      <c r="G64" s="212"/>
      <c r="H64" s="212"/>
      <c r="I64" s="212"/>
      <c r="J64" s="212"/>
      <c r="K64" s="213"/>
    </row>
    <row r="65" spans="2:11" ht="90" x14ac:dyDescent="0.25">
      <c r="B65" s="63" t="s">
        <v>3</v>
      </c>
      <c r="C65" s="86" t="s">
        <v>4</v>
      </c>
      <c r="D65" s="50" t="s">
        <v>23</v>
      </c>
      <c r="E65" s="86" t="s">
        <v>6</v>
      </c>
      <c r="F65" s="86" t="s">
        <v>7</v>
      </c>
      <c r="G65" s="86" t="s">
        <v>8</v>
      </c>
      <c r="H65" s="86" t="s">
        <v>9</v>
      </c>
      <c r="I65" s="86" t="s">
        <v>10</v>
      </c>
      <c r="J65" s="86" t="s">
        <v>11</v>
      </c>
      <c r="K65" s="51" t="s">
        <v>12</v>
      </c>
    </row>
    <row r="66" spans="2:11" x14ac:dyDescent="0.25">
      <c r="B66" s="214" t="s">
        <v>13</v>
      </c>
      <c r="C66" s="215"/>
      <c r="D66" s="215"/>
      <c r="E66" s="215"/>
      <c r="F66" s="215"/>
      <c r="G66" s="215"/>
      <c r="H66" s="215"/>
      <c r="I66" s="215"/>
      <c r="J66" s="215"/>
      <c r="K66" s="216"/>
    </row>
    <row r="67" spans="2:11" ht="15.75" customHeight="1" x14ac:dyDescent="0.25">
      <c r="B67" s="178" t="s">
        <v>65</v>
      </c>
      <c r="C67" s="179"/>
      <c r="D67" s="179"/>
      <c r="E67" s="179"/>
      <c r="F67" s="179"/>
      <c r="G67" s="179"/>
      <c r="H67" s="179"/>
      <c r="I67" s="215" t="s">
        <v>66</v>
      </c>
      <c r="J67" s="215"/>
      <c r="K67" s="216"/>
    </row>
    <row r="68" spans="2:11" ht="22.5" customHeight="1" x14ac:dyDescent="0.25">
      <c r="B68" s="135" t="s">
        <v>26</v>
      </c>
      <c r="C68" s="136">
        <v>3</v>
      </c>
      <c r="D68" s="137">
        <f>$J$61</f>
        <v>10560000</v>
      </c>
      <c r="E68" s="138">
        <v>0.08</v>
      </c>
      <c r="F68" s="137">
        <f>D68*E68</f>
        <v>844800</v>
      </c>
      <c r="G68" s="3">
        <v>0.55969999999999998</v>
      </c>
      <c r="H68" s="139">
        <v>20</v>
      </c>
      <c r="I68" s="80">
        <f>(((((D68+F68)*G68)/30)*H68)/15)*15</f>
        <v>4255511.04</v>
      </c>
      <c r="J68" s="80">
        <f>C68*I68</f>
        <v>12766533.120000001</v>
      </c>
      <c r="K68" s="5">
        <f t="shared" ref="K68:K76" si="16">J68/30*$M$5</f>
        <v>137878557.69600001</v>
      </c>
    </row>
    <row r="69" spans="2:11" ht="22.5" customHeight="1" x14ac:dyDescent="0.25">
      <c r="B69" s="135"/>
      <c r="C69" s="136"/>
      <c r="D69" s="137"/>
      <c r="E69" s="138"/>
      <c r="F69" s="137"/>
      <c r="G69" s="3">
        <v>0.44030000000000002</v>
      </c>
      <c r="H69" s="139"/>
      <c r="I69" s="80">
        <f>(((((D68+F68)*G69)/30)*H68)/9)*1</f>
        <v>371965.44</v>
      </c>
      <c r="J69" s="80">
        <f>C68*I69</f>
        <v>1115896.3200000001</v>
      </c>
      <c r="K69" s="5">
        <f t="shared" si="16"/>
        <v>12051680.256000001</v>
      </c>
    </row>
    <row r="70" spans="2:11" ht="16.5" x14ac:dyDescent="0.25">
      <c r="B70" s="85" t="s">
        <v>27</v>
      </c>
      <c r="C70" s="79">
        <v>3</v>
      </c>
      <c r="D70" s="80">
        <f>$J$61</f>
        <v>10560000</v>
      </c>
      <c r="E70" s="81">
        <v>0.08</v>
      </c>
      <c r="F70" s="80">
        <f>D70*E70</f>
        <v>844800</v>
      </c>
      <c r="G70" s="3">
        <v>1</v>
      </c>
      <c r="H70" s="82">
        <v>4</v>
      </c>
      <c r="I70" s="80">
        <f>(((((D70+F70)*G70)/30)*H70)/15)*8</f>
        <v>811008</v>
      </c>
      <c r="J70" s="80">
        <f t="shared" ref="J70:J73" si="17">C70*I70</f>
        <v>2433024</v>
      </c>
      <c r="K70" s="5">
        <f t="shared" si="16"/>
        <v>26276659.199999999</v>
      </c>
    </row>
    <row r="71" spans="2:11" ht="49.5" x14ac:dyDescent="0.25">
      <c r="B71" s="85" t="s">
        <v>54</v>
      </c>
      <c r="C71" s="79">
        <v>5</v>
      </c>
      <c r="D71" s="80">
        <f>$J$61</f>
        <v>10560000</v>
      </c>
      <c r="E71" s="81">
        <v>0.08</v>
      </c>
      <c r="F71" s="80">
        <f t="shared" ref="F71" si="18">D71*E71</f>
        <v>844800</v>
      </c>
      <c r="G71" s="30">
        <v>1</v>
      </c>
      <c r="H71" s="82">
        <v>30</v>
      </c>
      <c r="I71" s="80">
        <f>(((((D71+F71)*G71)/30)*H71)/24)*24</f>
        <v>11404800</v>
      </c>
      <c r="J71" s="80">
        <f t="shared" si="17"/>
        <v>57024000</v>
      </c>
      <c r="K71" s="5">
        <f t="shared" si="16"/>
        <v>615859200</v>
      </c>
    </row>
    <row r="72" spans="2:11" ht="39.75" customHeight="1" x14ac:dyDescent="0.25">
      <c r="B72" s="85" t="s">
        <v>28</v>
      </c>
      <c r="C72" s="79">
        <v>1</v>
      </c>
      <c r="D72" s="80">
        <f>$J$61</f>
        <v>10560000</v>
      </c>
      <c r="E72" s="81">
        <v>0.11</v>
      </c>
      <c r="F72" s="80">
        <f>D72*E72</f>
        <v>1161600</v>
      </c>
      <c r="G72" s="6">
        <v>1</v>
      </c>
      <c r="H72" s="82">
        <v>30</v>
      </c>
      <c r="I72" s="80">
        <f>(((((D72+F72)*G72)/30)*H72)/24)*24</f>
        <v>11721600</v>
      </c>
      <c r="J72" s="80">
        <f t="shared" si="17"/>
        <v>11721600</v>
      </c>
      <c r="K72" s="5">
        <f t="shared" si="16"/>
        <v>126593280</v>
      </c>
    </row>
    <row r="73" spans="2:11" ht="39" customHeight="1" x14ac:dyDescent="0.25">
      <c r="B73" s="85" t="s">
        <v>29</v>
      </c>
      <c r="C73" s="83">
        <v>1</v>
      </c>
      <c r="D73" s="80">
        <f>$J$61</f>
        <v>10560000</v>
      </c>
      <c r="E73" s="81">
        <v>0.1</v>
      </c>
      <c r="F73" s="80">
        <f t="shared" ref="F73" si="19">D73*E73</f>
        <v>1056000</v>
      </c>
      <c r="G73" s="6">
        <v>1</v>
      </c>
      <c r="H73" s="82">
        <v>30</v>
      </c>
      <c r="I73" s="80">
        <f>(((((D73+F73)*G73)/30)*H73)/24)*24</f>
        <v>11616000</v>
      </c>
      <c r="J73" s="80">
        <f t="shared" si="17"/>
        <v>11616000</v>
      </c>
      <c r="K73" s="5">
        <f t="shared" si="16"/>
        <v>125452800</v>
      </c>
    </row>
    <row r="74" spans="2:11" ht="27" customHeight="1" x14ac:dyDescent="0.25">
      <c r="B74" s="140" t="s">
        <v>31</v>
      </c>
      <c r="C74" s="117">
        <v>1</v>
      </c>
      <c r="D74" s="118">
        <f>$J$61</f>
        <v>10560000</v>
      </c>
      <c r="E74" s="119">
        <v>0.11</v>
      </c>
      <c r="F74" s="118">
        <f>D74*E74</f>
        <v>1161600</v>
      </c>
      <c r="G74" s="31">
        <v>0.55969999999999998</v>
      </c>
      <c r="H74" s="120">
        <v>20</v>
      </c>
      <c r="I74" s="84">
        <f>(((((D74+F74)*G74)/30)*H74)/15)*15</f>
        <v>4373719.68</v>
      </c>
      <c r="J74" s="84">
        <f>C74*I74</f>
        <v>4373719.68</v>
      </c>
      <c r="K74" s="5">
        <f t="shared" si="16"/>
        <v>47236172.544</v>
      </c>
    </row>
    <row r="75" spans="2:11" ht="27" customHeight="1" x14ac:dyDescent="0.25">
      <c r="B75" s="140"/>
      <c r="C75" s="117"/>
      <c r="D75" s="118"/>
      <c r="E75" s="119"/>
      <c r="F75" s="118"/>
      <c r="G75" s="31">
        <v>0.44030000000000002</v>
      </c>
      <c r="H75" s="120"/>
      <c r="I75" s="84">
        <f>(((((D74+F74)*G75)/30)*H74)/9)*1</f>
        <v>382297.81333333335</v>
      </c>
      <c r="J75" s="84">
        <f>C74*I75</f>
        <v>382297.81333333335</v>
      </c>
      <c r="K75" s="5">
        <f t="shared" si="16"/>
        <v>4128816.3840000005</v>
      </c>
    </row>
    <row r="76" spans="2:11" ht="26.25" customHeight="1" x14ac:dyDescent="0.25">
      <c r="B76" s="85" t="s">
        <v>35</v>
      </c>
      <c r="C76" s="79">
        <v>1</v>
      </c>
      <c r="D76" s="80">
        <f>$J$61</f>
        <v>10560000</v>
      </c>
      <c r="E76" s="81">
        <v>0.11</v>
      </c>
      <c r="F76" s="80">
        <f>D76*E76</f>
        <v>1161600</v>
      </c>
      <c r="G76" s="3">
        <v>1</v>
      </c>
      <c r="H76" s="82">
        <v>4</v>
      </c>
      <c r="I76" s="80">
        <f>(((((D76+F76)*G76)/30)*H76)/15)*8</f>
        <v>833536</v>
      </c>
      <c r="J76" s="80">
        <f t="shared" ref="J76" si="20">C76*I76</f>
        <v>833536</v>
      </c>
      <c r="K76" s="5">
        <f t="shared" si="16"/>
        <v>9002188.8000000007</v>
      </c>
    </row>
    <row r="77" spans="2:11" ht="21.75" customHeight="1" thickBot="1" x14ac:dyDescent="0.3">
      <c r="B77" s="204" t="s">
        <v>67</v>
      </c>
      <c r="C77" s="205"/>
      <c r="D77" s="205"/>
      <c r="E77" s="205"/>
      <c r="F77" s="205"/>
      <c r="G77" s="205"/>
      <c r="H77" s="205"/>
      <c r="I77" s="206" t="s">
        <v>68</v>
      </c>
      <c r="J77" s="206"/>
      <c r="K77" s="207"/>
    </row>
    <row r="78" spans="2:11" ht="24" customHeight="1" x14ac:dyDescent="0.25">
      <c r="B78" s="208" t="s">
        <v>30</v>
      </c>
      <c r="C78" s="209">
        <v>5</v>
      </c>
      <c r="D78" s="210">
        <f>$J$61</f>
        <v>10560000</v>
      </c>
      <c r="E78" s="217">
        <v>0.08</v>
      </c>
      <c r="F78" s="210">
        <f>E78*D78</f>
        <v>844800</v>
      </c>
      <c r="G78" s="106">
        <v>0.55969999999999998</v>
      </c>
      <c r="H78" s="218">
        <v>20</v>
      </c>
      <c r="I78" s="8">
        <f>(((((D78+F78)*G78)/30)*H78)/15)*15</f>
        <v>4255511.04</v>
      </c>
      <c r="J78" s="8">
        <f>C78*I78</f>
        <v>21277555.199999999</v>
      </c>
      <c r="K78" s="36">
        <f t="shared" ref="K78:K80" si="21">J78/30*$M$6</f>
        <v>188660989.44</v>
      </c>
    </row>
    <row r="79" spans="2:11" ht="24" customHeight="1" x14ac:dyDescent="0.25">
      <c r="B79" s="116"/>
      <c r="C79" s="136"/>
      <c r="D79" s="137"/>
      <c r="E79" s="138"/>
      <c r="F79" s="137"/>
      <c r="G79" s="3">
        <v>0.44030000000000002</v>
      </c>
      <c r="H79" s="139"/>
      <c r="I79" s="80">
        <f>(((((D78+F78)*G79)/30)*H78)/9)*1</f>
        <v>371965.44</v>
      </c>
      <c r="J79" s="80">
        <f>C78*I79</f>
        <v>1859827.2</v>
      </c>
      <c r="K79" s="32">
        <f t="shared" si="21"/>
        <v>16490467.84</v>
      </c>
    </row>
    <row r="80" spans="2:11" ht="20.25" customHeight="1" x14ac:dyDescent="0.25">
      <c r="B80" s="85" t="s">
        <v>27</v>
      </c>
      <c r="C80" s="79">
        <v>5</v>
      </c>
      <c r="D80" s="80">
        <f>$J$61</f>
        <v>10560000</v>
      </c>
      <c r="E80" s="81">
        <v>0.08</v>
      </c>
      <c r="F80" s="80">
        <f>D80*E80</f>
        <v>844800</v>
      </c>
      <c r="G80" s="3">
        <v>1</v>
      </c>
      <c r="H80" s="82">
        <v>4</v>
      </c>
      <c r="I80" s="80">
        <f>(((((D80+F80)*G80)/30)*H80)/15)*8</f>
        <v>811008</v>
      </c>
      <c r="J80" s="80">
        <f t="shared" ref="J80" si="22">C80*I80</f>
        <v>4055040</v>
      </c>
      <c r="K80" s="32">
        <f t="shared" si="21"/>
        <v>35954688</v>
      </c>
    </row>
    <row r="81" spans="2:11" ht="21" customHeight="1" x14ac:dyDescent="0.25"/>
    <row r="82" spans="2:11" x14ac:dyDescent="0.25">
      <c r="B82" s="197" t="s">
        <v>14</v>
      </c>
      <c r="C82" s="198"/>
      <c r="D82" s="198"/>
      <c r="E82" s="198"/>
      <c r="F82" s="198"/>
      <c r="G82" s="198"/>
      <c r="H82" s="198"/>
      <c r="I82" s="198"/>
      <c r="J82" s="198"/>
      <c r="K82" s="199"/>
    </row>
    <row r="83" spans="2:11" ht="14.25" customHeight="1" thickBot="1" x14ac:dyDescent="0.3">
      <c r="B83" s="173" t="s">
        <v>65</v>
      </c>
      <c r="C83" s="174"/>
      <c r="D83" s="174"/>
      <c r="E83" s="174"/>
      <c r="F83" s="174"/>
      <c r="G83" s="174"/>
      <c r="H83" s="174"/>
      <c r="I83" s="175" t="s">
        <v>66</v>
      </c>
      <c r="J83" s="175"/>
      <c r="K83" s="200"/>
    </row>
    <row r="84" spans="2:11" ht="40.5" customHeight="1" x14ac:dyDescent="0.25">
      <c r="B84" s="60" t="s">
        <v>32</v>
      </c>
      <c r="C84" s="7">
        <v>2</v>
      </c>
      <c r="D84" s="8">
        <f>$J$61</f>
        <v>10560000</v>
      </c>
      <c r="E84" s="9">
        <v>0.08</v>
      </c>
      <c r="F84" s="8">
        <f>D84*E84</f>
        <v>844800</v>
      </c>
      <c r="G84" s="33">
        <v>1</v>
      </c>
      <c r="H84" s="34">
        <v>30</v>
      </c>
      <c r="I84" s="35">
        <f>(((((D84+F84)*G84)/30)*H84)/24)*24</f>
        <v>11404800</v>
      </c>
      <c r="J84" s="35">
        <f>C84*I84</f>
        <v>22809600</v>
      </c>
      <c r="K84" s="36">
        <f>J84/30*$M$5</f>
        <v>246343680</v>
      </c>
    </row>
    <row r="85" spans="2:11" ht="27" customHeight="1" x14ac:dyDescent="0.25">
      <c r="B85" s="140" t="s">
        <v>33</v>
      </c>
      <c r="C85" s="136">
        <v>1</v>
      </c>
      <c r="D85" s="137">
        <f>$J$61</f>
        <v>10560000</v>
      </c>
      <c r="E85" s="138">
        <v>0.11</v>
      </c>
      <c r="F85" s="137">
        <f>E85*D85</f>
        <v>1161600</v>
      </c>
      <c r="G85" s="31">
        <v>0.55969999999999998</v>
      </c>
      <c r="H85" s="120">
        <v>20</v>
      </c>
      <c r="I85" s="84">
        <f>(((((D85+F85)*G85)/30)*H85)/15)*15</f>
        <v>4373719.68</v>
      </c>
      <c r="J85" s="84">
        <f>C85*I85</f>
        <v>4373719.68</v>
      </c>
      <c r="K85" s="32">
        <f>J85/30*$M$5</f>
        <v>47236172.544</v>
      </c>
    </row>
    <row r="86" spans="2:11" ht="27" customHeight="1" x14ac:dyDescent="0.25">
      <c r="B86" s="140"/>
      <c r="C86" s="136"/>
      <c r="D86" s="137"/>
      <c r="E86" s="138"/>
      <c r="F86" s="137"/>
      <c r="G86" s="31">
        <v>0.44030000000000002</v>
      </c>
      <c r="H86" s="120"/>
      <c r="I86" s="84">
        <f>(((((D85+F85)*G86)/30)*H85)/9)*1</f>
        <v>382297.81333333335</v>
      </c>
      <c r="J86" s="84">
        <f>C85*I86</f>
        <v>382297.81333333335</v>
      </c>
      <c r="K86" s="32">
        <f>J86/30*$M$5</f>
        <v>4128816.3840000005</v>
      </c>
    </row>
    <row r="87" spans="2:11" ht="29.25" customHeight="1" thickBot="1" x14ac:dyDescent="0.3">
      <c r="B87" s="61" t="s">
        <v>34</v>
      </c>
      <c r="C87" s="10">
        <v>1</v>
      </c>
      <c r="D87" s="11">
        <f>$J$61</f>
        <v>10560000</v>
      </c>
      <c r="E87" s="12">
        <v>0.11</v>
      </c>
      <c r="F87" s="11">
        <f>D87*E87</f>
        <v>1161600</v>
      </c>
      <c r="G87" s="37">
        <v>0.55969999999999998</v>
      </c>
      <c r="H87" s="38">
        <v>4</v>
      </c>
      <c r="I87" s="39">
        <f>(((((D87+F87)*G87)/30)*H87)/15)*12</f>
        <v>699795.14879999997</v>
      </c>
      <c r="J87" s="39">
        <f>C87*I87</f>
        <v>699795.14879999997</v>
      </c>
      <c r="K87" s="40">
        <f t="shared" ref="K87" si="23">J87/30*$M$5</f>
        <v>7557787.6070399992</v>
      </c>
    </row>
    <row r="88" spans="2:11" ht="21" customHeight="1" x14ac:dyDescent="0.25">
      <c r="B88" s="158" t="s">
        <v>69</v>
      </c>
      <c r="C88" s="159"/>
      <c r="D88" s="159"/>
      <c r="E88" s="159"/>
      <c r="F88" s="159"/>
      <c r="G88" s="159"/>
      <c r="H88" s="160"/>
      <c r="I88" s="161" t="s">
        <v>70</v>
      </c>
      <c r="J88" s="162"/>
      <c r="K88" s="163"/>
    </row>
    <row r="89" spans="2:11" ht="38.25" customHeight="1" thickBot="1" x14ac:dyDescent="0.3">
      <c r="B89" s="95" t="s">
        <v>72</v>
      </c>
      <c r="C89" s="10">
        <v>1</v>
      </c>
      <c r="D89" s="11">
        <f>$J$61</f>
        <v>10560000</v>
      </c>
      <c r="E89" s="12">
        <v>0.08</v>
      </c>
      <c r="F89" s="11">
        <f>E89*D89</f>
        <v>844800</v>
      </c>
      <c r="G89" s="71">
        <v>0.55969999999999998</v>
      </c>
      <c r="H89" s="72">
        <v>20</v>
      </c>
      <c r="I89" s="11">
        <f>(((((D89+F89)*G89)/30)*H89)/15)*12</f>
        <v>3404408.8319999995</v>
      </c>
      <c r="J89" s="11">
        <f>C89*I89</f>
        <v>3404408.8319999995</v>
      </c>
      <c r="K89" s="40">
        <f>J89/30*$M$7</f>
        <v>31434041.548799995</v>
      </c>
    </row>
    <row r="90" spans="2:11" ht="10.5" customHeight="1" thickBot="1" x14ac:dyDescent="0.3">
      <c r="B90" s="75"/>
      <c r="C90" s="20"/>
      <c r="D90" s="13"/>
      <c r="E90" s="14"/>
      <c r="F90" s="13"/>
      <c r="G90" s="66"/>
      <c r="H90" s="67"/>
      <c r="I90" s="68"/>
      <c r="J90" s="68"/>
      <c r="K90" s="41"/>
    </row>
    <row r="91" spans="2:11" ht="16.5" customHeight="1" x14ac:dyDescent="0.25">
      <c r="B91" s="150" t="s">
        <v>36</v>
      </c>
      <c r="C91" s="151"/>
      <c r="D91" s="151"/>
      <c r="E91" s="151"/>
      <c r="F91" s="151"/>
      <c r="G91" s="151"/>
      <c r="H91" s="151"/>
      <c r="I91" s="151"/>
      <c r="J91" s="151"/>
      <c r="K91" s="152"/>
    </row>
    <row r="92" spans="2:11" ht="14.25" customHeight="1" thickBot="1" x14ac:dyDescent="0.3">
      <c r="B92" s="153" t="s">
        <v>65</v>
      </c>
      <c r="C92" s="154"/>
      <c r="D92" s="154"/>
      <c r="E92" s="154"/>
      <c r="F92" s="154"/>
      <c r="G92" s="154"/>
      <c r="H92" s="154"/>
      <c r="I92" s="155" t="s">
        <v>66</v>
      </c>
      <c r="J92" s="156"/>
      <c r="K92" s="157"/>
    </row>
    <row r="93" spans="2:11" ht="36" customHeight="1" thickBot="1" x14ac:dyDescent="0.3">
      <c r="B93" s="60" t="s">
        <v>51</v>
      </c>
      <c r="C93" s="103">
        <v>1</v>
      </c>
      <c r="D93" s="104">
        <f>$J$61</f>
        <v>10560000</v>
      </c>
      <c r="E93" s="105">
        <v>0.1</v>
      </c>
      <c r="F93" s="104">
        <f>D93*E93</f>
        <v>1056000</v>
      </c>
      <c r="G93" s="33">
        <v>1</v>
      </c>
      <c r="H93" s="34">
        <v>30</v>
      </c>
      <c r="I93" s="35">
        <f>(((((D93+F93)*G93)/30)*H93)/24)*24</f>
        <v>11616000</v>
      </c>
      <c r="J93" s="35">
        <f>C93*I93</f>
        <v>11616000</v>
      </c>
      <c r="K93" s="36">
        <f>J93/30*$M$5</f>
        <v>125452800</v>
      </c>
    </row>
    <row r="94" spans="2:11" ht="33" customHeight="1" x14ac:dyDescent="0.25">
      <c r="B94" s="60" t="s">
        <v>32</v>
      </c>
      <c r="C94" s="7">
        <v>1</v>
      </c>
      <c r="D94" s="8">
        <f>$J$61</f>
        <v>10560000</v>
      </c>
      <c r="E94" s="9">
        <v>0.08</v>
      </c>
      <c r="F94" s="8">
        <f>D94*E94</f>
        <v>844800</v>
      </c>
      <c r="G94" s="33">
        <v>1</v>
      </c>
      <c r="H94" s="34">
        <v>30</v>
      </c>
      <c r="I94" s="35">
        <f>(((((D94+F94)*G94)/30)*H94)/24)*24</f>
        <v>11404800</v>
      </c>
      <c r="J94" s="35">
        <f>C94*I94</f>
        <v>11404800</v>
      </c>
      <c r="K94" s="36">
        <f>J94/30*$M$5</f>
        <v>123171840</v>
      </c>
    </row>
    <row r="95" spans="2:11" ht="27" customHeight="1" x14ac:dyDescent="0.25">
      <c r="B95" s="140" t="s">
        <v>33</v>
      </c>
      <c r="C95" s="136">
        <v>1</v>
      </c>
      <c r="D95" s="137">
        <f>$J$61</f>
        <v>10560000</v>
      </c>
      <c r="E95" s="138">
        <v>0.11</v>
      </c>
      <c r="F95" s="137">
        <f>E95*D95</f>
        <v>1161600</v>
      </c>
      <c r="G95" s="31">
        <v>0.55969999999999998</v>
      </c>
      <c r="H95" s="120">
        <v>20</v>
      </c>
      <c r="I95" s="84">
        <f>(((((D95+F95)*G95)/30)*H95)/15)*15</f>
        <v>4373719.68</v>
      </c>
      <c r="J95" s="84">
        <f>C95*I95</f>
        <v>4373719.68</v>
      </c>
      <c r="K95" s="32">
        <f>J95/30*$M$5</f>
        <v>47236172.544</v>
      </c>
    </row>
    <row r="96" spans="2:11" ht="27" customHeight="1" x14ac:dyDescent="0.25">
      <c r="B96" s="140"/>
      <c r="C96" s="136"/>
      <c r="D96" s="137"/>
      <c r="E96" s="138"/>
      <c r="F96" s="137"/>
      <c r="G96" s="31">
        <v>0.44030000000000002</v>
      </c>
      <c r="H96" s="120"/>
      <c r="I96" s="84">
        <f>(((((D95+F95)*G96)/30)*H95)/9)*1</f>
        <v>382297.81333333335</v>
      </c>
      <c r="J96" s="84">
        <f>C95*I96</f>
        <v>382297.81333333335</v>
      </c>
      <c r="K96" s="32">
        <f>J96/30*$M$5</f>
        <v>4128816.3840000005</v>
      </c>
    </row>
    <row r="97" spans="2:17" ht="25.5" customHeight="1" thickBot="1" x14ac:dyDescent="0.3">
      <c r="B97" s="61" t="s">
        <v>34</v>
      </c>
      <c r="C97" s="10">
        <v>1</v>
      </c>
      <c r="D97" s="11">
        <f>$J$61</f>
        <v>10560000</v>
      </c>
      <c r="E97" s="12">
        <v>0.11</v>
      </c>
      <c r="F97" s="11">
        <f>D97*E97</f>
        <v>1161600</v>
      </c>
      <c r="G97" s="37">
        <v>0.55969999999999998</v>
      </c>
      <c r="H97" s="38">
        <v>4</v>
      </c>
      <c r="I97" s="39">
        <f>(((((D97+F97)*G97)/30)*H97)/15)*12</f>
        <v>699795.14879999997</v>
      </c>
      <c r="J97" s="39">
        <f>C97*I97</f>
        <v>699795.14879999997</v>
      </c>
      <c r="K97" s="40">
        <f>J97/30*$M$5</f>
        <v>7557787.6070399992</v>
      </c>
    </row>
    <row r="98" spans="2:17" ht="21.75" customHeight="1" x14ac:dyDescent="0.25">
      <c r="B98" s="164" t="s">
        <v>67</v>
      </c>
      <c r="C98" s="165"/>
      <c r="D98" s="165"/>
      <c r="E98" s="165"/>
      <c r="F98" s="165"/>
      <c r="G98" s="165"/>
      <c r="H98" s="166"/>
      <c r="I98" s="167" t="s">
        <v>68</v>
      </c>
      <c r="J98" s="168"/>
      <c r="K98" s="169"/>
    </row>
    <row r="99" spans="2:17" ht="27.75" customHeight="1" x14ac:dyDescent="0.25">
      <c r="B99" s="116" t="s">
        <v>37</v>
      </c>
      <c r="C99" s="136">
        <v>1</v>
      </c>
      <c r="D99" s="137">
        <f>$J$61</f>
        <v>10560000</v>
      </c>
      <c r="E99" s="138">
        <v>0.08</v>
      </c>
      <c r="F99" s="137">
        <f>E99*D99</f>
        <v>844800</v>
      </c>
      <c r="G99" s="3">
        <v>0.55969999999999998</v>
      </c>
      <c r="H99" s="139">
        <v>20</v>
      </c>
      <c r="I99" s="80">
        <f>(((((D99+F99)*G99)/30)*H99)/15)*15</f>
        <v>4255511.04</v>
      </c>
      <c r="J99" s="80">
        <f>C99*I99</f>
        <v>4255511.04</v>
      </c>
      <c r="K99" s="32">
        <f>J99/30*$M$6</f>
        <v>37732197.887999997</v>
      </c>
    </row>
    <row r="100" spans="2:17" ht="27.75" customHeight="1" x14ac:dyDescent="0.25">
      <c r="B100" s="116"/>
      <c r="C100" s="136"/>
      <c r="D100" s="137"/>
      <c r="E100" s="138"/>
      <c r="F100" s="137"/>
      <c r="G100" s="3">
        <v>0.44030000000000002</v>
      </c>
      <c r="H100" s="139"/>
      <c r="I100" s="80">
        <f>(((((D99+F99)*G100)/30)*H99)/9)*1</f>
        <v>371965.44</v>
      </c>
      <c r="J100" s="80">
        <f>C99*I100</f>
        <v>371965.44</v>
      </c>
      <c r="K100" s="32">
        <f t="shared" ref="K100:K101" si="24">J100/30*$M$6</f>
        <v>3298093.568</v>
      </c>
    </row>
    <row r="101" spans="2:17" ht="28.5" customHeight="1" thickBot="1" x14ac:dyDescent="0.3">
      <c r="B101" s="70" t="s">
        <v>38</v>
      </c>
      <c r="C101" s="10">
        <v>1</v>
      </c>
      <c r="D101" s="11">
        <f>$J$61</f>
        <v>10560000</v>
      </c>
      <c r="E101" s="12">
        <v>0.08</v>
      </c>
      <c r="F101" s="11">
        <f>D101*E101</f>
        <v>844800</v>
      </c>
      <c r="G101" s="71">
        <v>1</v>
      </c>
      <c r="H101" s="72">
        <v>4</v>
      </c>
      <c r="I101" s="11">
        <f>(((((D101+F101)*G101)/30)*H101)/15)*8</f>
        <v>811008</v>
      </c>
      <c r="J101" s="11">
        <f t="shared" ref="J101" si="25">C101*I101</f>
        <v>811008</v>
      </c>
      <c r="K101" s="40">
        <f t="shared" si="24"/>
        <v>7190937.5999999996</v>
      </c>
    </row>
    <row r="102" spans="2:17" x14ac:dyDescent="0.25">
      <c r="B102" s="201" t="s">
        <v>42</v>
      </c>
      <c r="C102" s="202"/>
      <c r="D102" s="202"/>
      <c r="E102" s="202"/>
      <c r="F102" s="202"/>
      <c r="G102" s="202"/>
      <c r="H102" s="202"/>
      <c r="I102" s="202"/>
      <c r="J102" s="203"/>
      <c r="K102" s="94">
        <f>SUM(K68:K76)+SUM(K78:K80)+SUM(K84:K87)+K89+SUM(K93:K97)+SUM(K99:K101)</f>
        <v>2038054643.8348796</v>
      </c>
      <c r="M102" t="s">
        <v>60</v>
      </c>
      <c r="N102" s="77">
        <f>SUM(K11:K19)+SUM(K68:K76)+SUM(K78:K80)</f>
        <v>1473869778.7733331</v>
      </c>
      <c r="O102" s="77">
        <f>N102*10%</f>
        <v>147386977.87733331</v>
      </c>
      <c r="P102" s="77">
        <f>O102*19%</f>
        <v>28003525.796693329</v>
      </c>
      <c r="Q102" s="77">
        <f>N102+P102</f>
        <v>1501873304.5700264</v>
      </c>
    </row>
    <row r="103" spans="2:17" x14ac:dyDescent="0.25">
      <c r="B103" s="183" t="s">
        <v>16</v>
      </c>
      <c r="C103" s="184"/>
      <c r="D103" s="184"/>
      <c r="E103" s="184"/>
      <c r="F103" s="184"/>
      <c r="G103" s="184"/>
      <c r="H103" s="184"/>
      <c r="I103" s="184"/>
      <c r="J103" s="184"/>
      <c r="K103" s="43">
        <f>K102*10%</f>
        <v>203805464.38348797</v>
      </c>
      <c r="M103" t="s">
        <v>61</v>
      </c>
      <c r="N103" s="77">
        <f>SUM(K30:K33)+SUM(K84:K87)+K89</f>
        <v>364965910.72597337</v>
      </c>
      <c r="O103" s="77">
        <f>N103*10%</f>
        <v>36496591.07259734</v>
      </c>
      <c r="P103" s="77">
        <f>O103*19%</f>
        <v>6934352.3037934946</v>
      </c>
      <c r="Q103" s="77">
        <f>N103+P103</f>
        <v>371900263.02976686</v>
      </c>
    </row>
    <row r="104" spans="2:17" x14ac:dyDescent="0.25">
      <c r="B104" s="183" t="s">
        <v>17</v>
      </c>
      <c r="C104" s="184"/>
      <c r="D104" s="184"/>
      <c r="E104" s="184"/>
      <c r="F104" s="184"/>
      <c r="G104" s="184"/>
      <c r="H104" s="184"/>
      <c r="I104" s="184"/>
      <c r="J104" s="184"/>
      <c r="K104" s="43">
        <f>K103*19%</f>
        <v>38723038.232862718</v>
      </c>
      <c r="M104" t="s">
        <v>74</v>
      </c>
      <c r="N104" s="77">
        <f>SUM(K39:K43)+SUM(K93:K97)+SUM(K99:K101)</f>
        <v>384245258.23317337</v>
      </c>
      <c r="O104" s="77">
        <f>N104*10%</f>
        <v>38424525.823317342</v>
      </c>
      <c r="P104" s="77">
        <f>O104*19%</f>
        <v>7300659.9064302947</v>
      </c>
      <c r="Q104" s="77">
        <f>N104+P104</f>
        <v>391545918.13960367</v>
      </c>
    </row>
    <row r="105" spans="2:17" x14ac:dyDescent="0.25">
      <c r="B105" s="185" t="s">
        <v>41</v>
      </c>
      <c r="C105" s="186"/>
      <c r="D105" s="186"/>
      <c r="E105" s="186"/>
      <c r="F105" s="186"/>
      <c r="G105" s="186"/>
      <c r="H105" s="186"/>
      <c r="I105" s="186"/>
      <c r="J105" s="186"/>
      <c r="K105" s="44">
        <f>K102+K104</f>
        <v>2076777682.0677423</v>
      </c>
      <c r="M105" t="s">
        <v>62</v>
      </c>
      <c r="N105" s="77">
        <f>K54</f>
        <v>21600000</v>
      </c>
      <c r="Q105" s="77">
        <f>N105</f>
        <v>21600000</v>
      </c>
    </row>
    <row r="106" spans="2:17" ht="15.75" thickBot="1" x14ac:dyDescent="0.3">
      <c r="B106" s="195" t="s">
        <v>56</v>
      </c>
      <c r="C106" s="196"/>
      <c r="D106" s="196"/>
      <c r="E106" s="196"/>
      <c r="F106" s="196"/>
      <c r="G106" s="196"/>
      <c r="H106" s="196"/>
      <c r="I106" s="196"/>
      <c r="J106" s="196"/>
      <c r="K106" s="58">
        <f>K55+K105</f>
        <v>2286919485.7393966</v>
      </c>
      <c r="Q106" s="77">
        <f>SUM(Q102:Q105)</f>
        <v>2286919485.739397</v>
      </c>
    </row>
    <row r="107" spans="2:17" x14ac:dyDescent="0.25">
      <c r="J107" s="52"/>
      <c r="K107" s="52"/>
    </row>
    <row r="108" spans="2:17" x14ac:dyDescent="0.25">
      <c r="K108" s="52"/>
    </row>
    <row r="109" spans="2:17" x14ac:dyDescent="0.25">
      <c r="B109"/>
      <c r="C109"/>
      <c r="D109"/>
      <c r="E109"/>
      <c r="F109"/>
      <c r="G109"/>
      <c r="H109"/>
      <c r="I109"/>
      <c r="K109" s="53"/>
    </row>
    <row r="111" spans="2:17" x14ac:dyDescent="0.25">
      <c r="B111"/>
      <c r="C111"/>
      <c r="D111"/>
      <c r="E111"/>
      <c r="F111"/>
      <c r="G111"/>
      <c r="H111"/>
      <c r="I111"/>
      <c r="K111" s="53"/>
    </row>
  </sheetData>
  <mergeCells count="127">
    <mergeCell ref="B77:H77"/>
    <mergeCell ref="I77:K77"/>
    <mergeCell ref="B78:B79"/>
    <mergeCell ref="C78:C79"/>
    <mergeCell ref="D78:D79"/>
    <mergeCell ref="B64:K64"/>
    <mergeCell ref="B66:K66"/>
    <mergeCell ref="E78:E79"/>
    <mergeCell ref="F78:F79"/>
    <mergeCell ref="H78:H79"/>
    <mergeCell ref="I67:K67"/>
    <mergeCell ref="B68:B69"/>
    <mergeCell ref="C68:C69"/>
    <mergeCell ref="D68:D69"/>
    <mergeCell ref="E68:E69"/>
    <mergeCell ref="F68:F69"/>
    <mergeCell ref="H68:H69"/>
    <mergeCell ref="D99:D100"/>
    <mergeCell ref="E99:E100"/>
    <mergeCell ref="F99:F100"/>
    <mergeCell ref="H99:H100"/>
    <mergeCell ref="D95:D96"/>
    <mergeCell ref="E95:E96"/>
    <mergeCell ref="F95:F96"/>
    <mergeCell ref="H95:H96"/>
    <mergeCell ref="B98:H98"/>
    <mergeCell ref="B103:J103"/>
    <mergeCell ref="B104:J104"/>
    <mergeCell ref="B105:J105"/>
    <mergeCell ref="B106:J106"/>
    <mergeCell ref="B82:K82"/>
    <mergeCell ref="B83:H83"/>
    <mergeCell ref="I83:K83"/>
    <mergeCell ref="C85:C86"/>
    <mergeCell ref="D85:D86"/>
    <mergeCell ref="E85:E86"/>
    <mergeCell ref="F85:F86"/>
    <mergeCell ref="H85:H86"/>
    <mergeCell ref="B91:K91"/>
    <mergeCell ref="B92:H92"/>
    <mergeCell ref="I92:K92"/>
    <mergeCell ref="B95:B96"/>
    <mergeCell ref="C95:C96"/>
    <mergeCell ref="B85:B86"/>
    <mergeCell ref="B88:H88"/>
    <mergeCell ref="I88:K88"/>
    <mergeCell ref="I98:K98"/>
    <mergeCell ref="B102:J102"/>
    <mergeCell ref="B99:B100"/>
    <mergeCell ref="C99:C100"/>
    <mergeCell ref="B24:B25"/>
    <mergeCell ref="C24:C25"/>
    <mergeCell ref="D24:D25"/>
    <mergeCell ref="E24:E25"/>
    <mergeCell ref="F24:F25"/>
    <mergeCell ref="H24:H25"/>
    <mergeCell ref="C31:C32"/>
    <mergeCell ref="D31:D32"/>
    <mergeCell ref="E31:E32"/>
    <mergeCell ref="F31:F32"/>
    <mergeCell ref="H31:H32"/>
    <mergeCell ref="F45:F46"/>
    <mergeCell ref="H45:H46"/>
    <mergeCell ref="B74:B75"/>
    <mergeCell ref="C74:C75"/>
    <mergeCell ref="D74:D75"/>
    <mergeCell ref="E74:E75"/>
    <mergeCell ref="F74:F75"/>
    <mergeCell ref="H74:H75"/>
    <mergeCell ref="B67:H67"/>
    <mergeCell ref="B48:J48"/>
    <mergeCell ref="B49:J49"/>
    <mergeCell ref="B50:J50"/>
    <mergeCell ref="B51:J51"/>
    <mergeCell ref="C53:D53"/>
    <mergeCell ref="B52:B53"/>
    <mergeCell ref="C52:D52"/>
    <mergeCell ref="B55:J55"/>
    <mergeCell ref="B54:J54"/>
    <mergeCell ref="B20:H20"/>
    <mergeCell ref="F58:J58"/>
    <mergeCell ref="B63:K63"/>
    <mergeCell ref="B37:K37"/>
    <mergeCell ref="B38:H38"/>
    <mergeCell ref="I38:K38"/>
    <mergeCell ref="B41:B42"/>
    <mergeCell ref="C41:C42"/>
    <mergeCell ref="D41:D42"/>
    <mergeCell ref="E41:E42"/>
    <mergeCell ref="F41:F42"/>
    <mergeCell ref="H41:H42"/>
    <mergeCell ref="B44:H44"/>
    <mergeCell ref="I44:K44"/>
    <mergeCell ref="B45:B46"/>
    <mergeCell ref="C45:C46"/>
    <mergeCell ref="D45:D46"/>
    <mergeCell ref="E45:E46"/>
    <mergeCell ref="B34:H34"/>
    <mergeCell ref="I34:K34"/>
    <mergeCell ref="B28:K28"/>
    <mergeCell ref="B29:H29"/>
    <mergeCell ref="I29:K29"/>
    <mergeCell ref="B31:B32"/>
    <mergeCell ref="I20:K20"/>
    <mergeCell ref="B21:B22"/>
    <mergeCell ref="C21:C22"/>
    <mergeCell ref="D21:D22"/>
    <mergeCell ref="E21:E22"/>
    <mergeCell ref="F21:F22"/>
    <mergeCell ref="H21:H22"/>
    <mergeCell ref="F3:J3"/>
    <mergeCell ref="B7:K7"/>
    <mergeCell ref="B9:K9"/>
    <mergeCell ref="B10:H10"/>
    <mergeCell ref="I10:K10"/>
    <mergeCell ref="B11:B12"/>
    <mergeCell ref="C11:C12"/>
    <mergeCell ref="D11:D12"/>
    <mergeCell ref="E11:E12"/>
    <mergeCell ref="F11:F12"/>
    <mergeCell ref="H11:H12"/>
    <mergeCell ref="B17:B18"/>
    <mergeCell ref="C17:C18"/>
    <mergeCell ref="D17:D18"/>
    <mergeCell ref="E17:E18"/>
    <mergeCell ref="F17:F18"/>
    <mergeCell ref="H17:H1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Seguimiento Seguridad</dc:creator>
  <cp:lastModifiedBy>Julian Camilo Rodriguez Fonseca</cp:lastModifiedBy>
  <dcterms:created xsi:type="dcterms:W3CDTF">2020-06-02T16:11:37Z</dcterms:created>
  <dcterms:modified xsi:type="dcterms:W3CDTF">2022-09-20T19:34:44Z</dcterms:modified>
</cp:coreProperties>
</file>