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640" firstSheet="1" activeTab="1"/>
  </bookViews>
  <sheets>
    <sheet name="CORTE CON 10%" sheetId="1" r:id="rId1"/>
    <sheet name="Anexo 2 (2)" sheetId="2" r:id="rId2"/>
  </sheets>
  <definedNames>
    <definedName name="_xlnm._FilterDatabase" localSheetId="1" hidden="1">'Anexo 2 (2)'!$A$1:$I$312</definedName>
    <definedName name="_xlnm.Print_Area" localSheetId="1">'Anexo 2 (2)'!$A$1:$I$271</definedName>
    <definedName name="_xlnm.Print_Area" localSheetId="0">'CORTE CON 10%'!$A$1:$X$421</definedName>
    <definedName name="_xlnm.Print_Titles" localSheetId="0">'CORTE CON 10%'!$15:$16</definedName>
  </definedNames>
  <calcPr fullCalcOnLoad="1"/>
</workbook>
</file>

<file path=xl/comments2.xml><?xml version="1.0" encoding="utf-8"?>
<comments xmlns="http://schemas.openxmlformats.org/spreadsheetml/2006/main">
  <authors>
    <author>fernando.castiblanco</author>
  </authors>
  <commentList>
    <comment ref="E68" authorId="0">
      <text>
        <r>
          <rPr>
            <b/>
            <sz val="9"/>
            <rFont val="Tahoma"/>
            <family val="2"/>
          </rPr>
          <t>SE ASIMILA A RECTORIA</t>
        </r>
      </text>
    </comment>
    <comment ref="E77" authorId="0">
      <text>
        <r>
          <rPr>
            <b/>
            <sz val="9"/>
            <rFont val="Tahoma"/>
            <family val="2"/>
          </rPr>
          <t>SE ASIMILA A RECTORIA</t>
        </r>
      </text>
    </comment>
    <comment ref="E86" authorId="0">
      <text>
        <r>
          <rPr>
            <b/>
            <sz val="9"/>
            <rFont val="Tahoma"/>
            <family val="2"/>
          </rPr>
          <t>SE ASIMILA A RECTORIA</t>
        </r>
      </text>
    </comment>
    <comment ref="E89" authorId="0">
      <text>
        <r>
          <rPr>
            <b/>
            <sz val="9"/>
            <rFont val="Tahoma"/>
            <family val="2"/>
          </rPr>
          <t>SE ASIMILA A RECTORIA</t>
        </r>
      </text>
    </comment>
    <comment ref="E253" authorId="0">
      <text>
        <r>
          <rPr>
            <b/>
            <sz val="9"/>
            <rFont val="Tahoma"/>
            <family val="2"/>
          </rPr>
          <t>IGUAL A PUESTO PROFESOR CÁTEDRA</t>
        </r>
      </text>
    </comment>
    <comment ref="E259" authorId="0">
      <text>
        <r>
          <rPr>
            <b/>
            <sz val="9"/>
            <rFont val="Tahoma"/>
            <family val="2"/>
          </rPr>
          <t>IGUAL A PUESTO PROFESOR CÁTEDRA</t>
        </r>
      </text>
    </comment>
  </commentList>
</comments>
</file>

<file path=xl/sharedStrings.xml><?xml version="1.0" encoding="utf-8"?>
<sst xmlns="http://schemas.openxmlformats.org/spreadsheetml/2006/main" count="1722" uniqueCount="643">
  <si>
    <t>ITEM</t>
  </si>
  <si>
    <t>DESCRIPCION</t>
  </si>
  <si>
    <t>UN</t>
  </si>
  <si>
    <t>CANTIDAD</t>
  </si>
  <si>
    <t>V. UNITARIO</t>
  </si>
  <si>
    <t>V. PARCIAL</t>
  </si>
  <si>
    <t>1.1</t>
  </si>
  <si>
    <t>MESAS DE BIBLIOTECA (grande)</t>
  </si>
  <si>
    <t>1.2</t>
  </si>
  <si>
    <t>MESAS DE BIBLIOTECA (pequeña)</t>
  </si>
  <si>
    <t>1.3</t>
  </si>
  <si>
    <t>MESA DE CONSULTA</t>
  </si>
  <si>
    <t>1.4</t>
  </si>
  <si>
    <t>ESTANTERIA DE CONSULTA (módulos)</t>
  </si>
  <si>
    <t>1.5</t>
  </si>
  <si>
    <t>PUESTO DE BIBLIOTECARIO</t>
  </si>
  <si>
    <t>1.5.1</t>
  </si>
  <si>
    <t>SUPERFICIES , MODULO SERVICIO BAJO</t>
  </si>
  <si>
    <t>1.5.2</t>
  </si>
  <si>
    <t>PANELERÍA ( incluye puerta)</t>
  </si>
  <si>
    <t>M2</t>
  </si>
  <si>
    <t>1.6</t>
  </si>
  <si>
    <t>PUESTO DE CONTROL</t>
  </si>
  <si>
    <t>1.6.1</t>
  </si>
  <si>
    <t>SUPERFICIE</t>
  </si>
  <si>
    <t>1.6.2</t>
  </si>
  <si>
    <t>PANELERIA</t>
  </si>
  <si>
    <t>1.7</t>
  </si>
  <si>
    <t>SILLA OPERATIVA</t>
  </si>
  <si>
    <t>1.8</t>
  </si>
  <si>
    <t>SILLAS PARA MESAS</t>
  </si>
  <si>
    <t>SUBTOTAL</t>
  </si>
  <si>
    <t>EDIFICIO ADMINISTRATIVO - PISO 1 - SALA INTERNET</t>
  </si>
  <si>
    <t>2.1</t>
  </si>
  <si>
    <t>PUESTO SALA</t>
  </si>
  <si>
    <t>2.2</t>
  </si>
  <si>
    <t>PUESTO DE ATENCION</t>
  </si>
  <si>
    <t>2.2.1</t>
  </si>
  <si>
    <t>SUPERFICIES, MODULO SERVICIO BAJO, BASE</t>
  </si>
  <si>
    <t>2.2.2</t>
  </si>
  <si>
    <t>2.3</t>
  </si>
  <si>
    <t>2.4</t>
  </si>
  <si>
    <t>SILLA PUESTO SALA</t>
  </si>
  <si>
    <t>3.1</t>
  </si>
  <si>
    <t>PUESTO DE ATENCION (incluye mostrador)</t>
  </si>
  <si>
    <t>3.2</t>
  </si>
  <si>
    <t>MUEBLES ALMACENAMIENTO</t>
  </si>
  <si>
    <t>3.3</t>
  </si>
  <si>
    <t>EDIFICIO ADMINISTRATIVO - PISO 1 - RECEPCION</t>
  </si>
  <si>
    <t>4.1</t>
  </si>
  <si>
    <t>PUESTO DE RECEPCION</t>
  </si>
  <si>
    <t>4.2</t>
  </si>
  <si>
    <t>EDIFICIO ADMINISTRATIVO - PISO 1 - SALA DE SISTEMAS</t>
  </si>
  <si>
    <t>5.1</t>
  </si>
  <si>
    <t>PUESTO SISTEMAS (con capacidad para 3 personas)</t>
  </si>
  <si>
    <t>5.2</t>
  </si>
  <si>
    <t>PUESTO DOCENTE</t>
  </si>
  <si>
    <t>5.3</t>
  </si>
  <si>
    <t>5.4</t>
  </si>
  <si>
    <t>SILLA PUESTO SISTEMAS</t>
  </si>
  <si>
    <t>5.5</t>
  </si>
  <si>
    <t>MESA EXTERIOR</t>
  </si>
  <si>
    <t>5.6</t>
  </si>
  <si>
    <t>SILLA EXTERIOR</t>
  </si>
  <si>
    <t>EDIFICIO ADMINISTRATIVO - PISO 1 - ESTAR</t>
  </si>
  <si>
    <t>6.1</t>
  </si>
  <si>
    <t>MESA ESTAR</t>
  </si>
  <si>
    <t>6.2</t>
  </si>
  <si>
    <t>SOFA INDIVIDUAL</t>
  </si>
  <si>
    <t>6.3</t>
  </si>
  <si>
    <t>SOFA COMPUESTO (con capacidad para 2 personas)</t>
  </si>
  <si>
    <t>7.1</t>
  </si>
  <si>
    <t>PUESTO DE TRABAJO SIN PANELERIA</t>
  </si>
  <si>
    <t>7.2</t>
  </si>
  <si>
    <t>PUESTO DE TRABAJO CON PANELERIA</t>
  </si>
  <si>
    <t>7.2.1</t>
  </si>
  <si>
    <t>SUPERFICIE, GABINETE, MODULO SERVICIO BAJO, FALDA, BASES</t>
  </si>
  <si>
    <t>7.2.2</t>
  </si>
  <si>
    <t>7.3</t>
  </si>
  <si>
    <t>PANELERIA SALA DE REUNIONES</t>
  </si>
  <si>
    <t>7.4</t>
  </si>
  <si>
    <t>MESA SALA DE REUNIONES</t>
  </si>
  <si>
    <t>7.5</t>
  </si>
  <si>
    <t>PUESTO SECRETARIAL</t>
  </si>
  <si>
    <t>7.6</t>
  </si>
  <si>
    <t>PUESTO DIRECCION</t>
  </si>
  <si>
    <t>7.6.1</t>
  </si>
  <si>
    <t>SUPERFICIE, GABINETE, MODULO BAJO, FALDA, BASES</t>
  </si>
  <si>
    <t>7.6.2</t>
  </si>
  <si>
    <t>PANELERIA (incluye puerta)</t>
  </si>
  <si>
    <t>7.7</t>
  </si>
  <si>
    <t>DIVISION VIDRIO (SOBRE ANTEPECHO)</t>
  </si>
  <si>
    <t>7.8</t>
  </si>
  <si>
    <t>7.9</t>
  </si>
  <si>
    <t>SILLA INTERLOCUTORA</t>
  </si>
  <si>
    <t>7.10</t>
  </si>
  <si>
    <t>SILLA SALA DE REUNIONES</t>
  </si>
  <si>
    <t>7.11</t>
  </si>
  <si>
    <t>SOFA ESPERA</t>
  </si>
  <si>
    <t>EDIFICIO ADMINISTRATIVO - PISO 2 - VICEDECANATURA</t>
  </si>
  <si>
    <t>8.1</t>
  </si>
  <si>
    <t>PUESTO COORDINADOR</t>
  </si>
  <si>
    <t>8.1.1</t>
  </si>
  <si>
    <t>SUPERFICIE, GABINETE, MODULO BAJO, FALDA</t>
  </si>
  <si>
    <t>8.1.2</t>
  </si>
  <si>
    <t>8.2</t>
  </si>
  <si>
    <t>PUESTO SECRETARIA DE COORDINADOR</t>
  </si>
  <si>
    <t>8.3</t>
  </si>
  <si>
    <t>ESTANTERIA MOVIL (Unidades de Consulta sencillas- UDC)</t>
  </si>
  <si>
    <t>8.4</t>
  </si>
  <si>
    <t>8.5</t>
  </si>
  <si>
    <t>8.6</t>
  </si>
  <si>
    <t>8.7</t>
  </si>
  <si>
    <t>8.7.1</t>
  </si>
  <si>
    <t>SUPERFICIES, GABINETE, MODULO, BAJO, FALDA, BASES</t>
  </si>
  <si>
    <t>8.7.2</t>
  </si>
  <si>
    <t>8.8</t>
  </si>
  <si>
    <t>DIVISION EN VIDRIO (SOBRE ANTEPECHO)</t>
  </si>
  <si>
    <t>8.9</t>
  </si>
  <si>
    <t>DIVISION EN VIDRIO ACCESO</t>
  </si>
  <si>
    <t>8.10</t>
  </si>
  <si>
    <t>8.11</t>
  </si>
  <si>
    <t>8.12</t>
  </si>
  <si>
    <t>9.1</t>
  </si>
  <si>
    <t>PUESTO SECRETARIA</t>
  </si>
  <si>
    <t>9.2</t>
  </si>
  <si>
    <t>9.2.1</t>
  </si>
  <si>
    <t>9.2.2</t>
  </si>
  <si>
    <t>9.3</t>
  </si>
  <si>
    <t>9.4</t>
  </si>
  <si>
    <t>EDIFICIO ADMINISTRATIVO - PISO 2 - RECTORIA</t>
  </si>
  <si>
    <t>10.1</t>
  </si>
  <si>
    <t>10.2</t>
  </si>
  <si>
    <t>PUESTO RECTORIA</t>
  </si>
  <si>
    <t>10.3</t>
  </si>
  <si>
    <t>MESA RECTORIA</t>
  </si>
  <si>
    <t>10.4</t>
  </si>
  <si>
    <t>ENTREPAÑO NICHO</t>
  </si>
  <si>
    <t>10.5</t>
  </si>
  <si>
    <t>10.6</t>
  </si>
  <si>
    <t>MESA ESPERA</t>
  </si>
  <si>
    <t>10.7</t>
  </si>
  <si>
    <t>10.8</t>
  </si>
  <si>
    <t>SILLA RECTORIA</t>
  </si>
  <si>
    <t>10.9</t>
  </si>
  <si>
    <t>SILLA INTERLOCUTORA RECTORIA</t>
  </si>
  <si>
    <t>10.10</t>
  </si>
  <si>
    <t>SILLA REUNIONES RECTORIA</t>
  </si>
  <si>
    <t>10.11</t>
  </si>
  <si>
    <t>MESA REUNIONES FACULTAD</t>
  </si>
  <si>
    <t>10.12</t>
  </si>
  <si>
    <t>SILLA REUNIONES FACULTAD</t>
  </si>
  <si>
    <t>11.1</t>
  </si>
  <si>
    <t>11.2</t>
  </si>
  <si>
    <t>PUESTO VICERRECTORIA</t>
  </si>
  <si>
    <t>11.3</t>
  </si>
  <si>
    <t>MESA VICERRECTORIA</t>
  </si>
  <si>
    <t>11.4</t>
  </si>
  <si>
    <t>11.5</t>
  </si>
  <si>
    <t>11.6</t>
  </si>
  <si>
    <t>11.7</t>
  </si>
  <si>
    <t>SILLA VICERRECTORIA</t>
  </si>
  <si>
    <t>11.8</t>
  </si>
  <si>
    <t>SILLA INTERLOCUTORA VICERRECTORIA</t>
  </si>
  <si>
    <t>11.9</t>
  </si>
  <si>
    <t>SILLA REUNIONES VICERRECTORIA</t>
  </si>
  <si>
    <t>TOTAL EDIFICIO ADMINISTRATIVO</t>
  </si>
  <si>
    <t>EDIFICIO DE AULAS - PISO 1 - AULAS ESPECIALIZADAS SISTEMAS E IDIOMAS</t>
  </si>
  <si>
    <t>12.1</t>
  </si>
  <si>
    <t>PUESTO AULA</t>
  </si>
  <si>
    <t>12.2</t>
  </si>
  <si>
    <t>12.3</t>
  </si>
  <si>
    <t>12.4</t>
  </si>
  <si>
    <t>SILLA AULA</t>
  </si>
  <si>
    <t>EDIFICIO DE AULAS  - AULAS TIPO A-B-C</t>
  </si>
  <si>
    <t>EDIFICIO DE AULAS 1</t>
  </si>
  <si>
    <t>13.1.1</t>
  </si>
  <si>
    <t>13.1.2</t>
  </si>
  <si>
    <t>13.1.3</t>
  </si>
  <si>
    <t>13.1.4</t>
  </si>
  <si>
    <t>EDIFICIO DE AULAS 2</t>
  </si>
  <si>
    <t>13.2.1</t>
  </si>
  <si>
    <t>13.2.2</t>
  </si>
  <si>
    <t>13.2.3</t>
  </si>
  <si>
    <t>13.2.4</t>
  </si>
  <si>
    <t>EDIFICIO DE AULAS  -  SALA ESTUDIO</t>
  </si>
  <si>
    <t>EDIFICIO AULAS 1</t>
  </si>
  <si>
    <t>14.1.1</t>
  </si>
  <si>
    <t>PANELERIA ESTUDIO</t>
  </si>
  <si>
    <t>14.1.2</t>
  </si>
  <si>
    <t>MESAS SALA (modulares)</t>
  </si>
  <si>
    <t>14.1.3</t>
  </si>
  <si>
    <t>SILLAS SALA</t>
  </si>
  <si>
    <t>EDIFICIO AULAS 2</t>
  </si>
  <si>
    <t>14.2.1</t>
  </si>
  <si>
    <t>14.2.2</t>
  </si>
  <si>
    <t>14.2.3</t>
  </si>
  <si>
    <t>EDIFICIO DE AULAS  - ZONA CARGA - ESTUDIO</t>
  </si>
  <si>
    <t>15.1.1</t>
  </si>
  <si>
    <t>SUPERFICIES CARGA</t>
  </si>
  <si>
    <t>15.1.2</t>
  </si>
  <si>
    <t>SILLAS CARGA</t>
  </si>
  <si>
    <t>15.1.3</t>
  </si>
  <si>
    <t>MESAS ZONA ESTUDIO CORREDOR</t>
  </si>
  <si>
    <t>15.1.4</t>
  </si>
  <si>
    <t>15.1.5</t>
  </si>
  <si>
    <t>SOFAS INDIVIDUAL</t>
  </si>
  <si>
    <t>15.1.6</t>
  </si>
  <si>
    <t>SOFAS COMPUESTO (con capacida para 2 personas)</t>
  </si>
  <si>
    <t>15.2.1</t>
  </si>
  <si>
    <t>15.2.2</t>
  </si>
  <si>
    <t>15.2.3</t>
  </si>
  <si>
    <t>15.2.4</t>
  </si>
  <si>
    <t>15.2.5</t>
  </si>
  <si>
    <t>15.2.6</t>
  </si>
  <si>
    <t>EDIFICIO DE AULAS - PISO 1 - LOCKERS</t>
  </si>
  <si>
    <t>16.1.1</t>
  </si>
  <si>
    <t>LOCKER (cuerpos por 3 unidades cada uno)</t>
  </si>
  <si>
    <t>16.2.1</t>
  </si>
  <si>
    <t>TOTAL EDIFICIO DE AULAS 1 Y 2</t>
  </si>
  <si>
    <t>EDIFICIO DE PROGRAMAS - PISOS 1-2 - DIRECCION</t>
  </si>
  <si>
    <t>PUESTO DIRECTOR</t>
  </si>
  <si>
    <t>17.2.1</t>
  </si>
  <si>
    <t>17.2.2</t>
  </si>
  <si>
    <t>PANELERIA SALA REUNIONES</t>
  </si>
  <si>
    <t>MESA REUNIONES</t>
  </si>
  <si>
    <t>SILLA SALA REUNIONES</t>
  </si>
  <si>
    <t>EDIFICIO DE PROGRAMAS - PISOS 1-2 - PROFESORES</t>
  </si>
  <si>
    <t>PUESTO PROFESOR PLANTA</t>
  </si>
  <si>
    <t>18.1.1</t>
  </si>
  <si>
    <t>18.1.2</t>
  </si>
  <si>
    <t>PUESTO PROFESOR CATEDRA</t>
  </si>
  <si>
    <t>18.2.1</t>
  </si>
  <si>
    <t>SUPERFICIE, BASE</t>
  </si>
  <si>
    <t>18.2.2</t>
  </si>
  <si>
    <t>EDIFICIO DE PROGRAMAS - PISOS 1-2 - CIRCULACIONES</t>
  </si>
  <si>
    <t>TOTAL EDIFICIO DE PROGRAMAS</t>
  </si>
  <si>
    <t>CAFETERIA</t>
  </si>
  <si>
    <t>MESAS CAFETERIA</t>
  </si>
  <si>
    <t>PARASOLES</t>
  </si>
  <si>
    <t>SILLAS CAFETERIA</t>
  </si>
  <si>
    <t>SALA PROFESORES</t>
  </si>
  <si>
    <t>SOFA DESCANSO</t>
  </si>
  <si>
    <t>MESAS DESCANSO</t>
  </si>
  <si>
    <t>AUDITORIO</t>
  </si>
  <si>
    <t>AUDITORIO 1</t>
  </si>
  <si>
    <t>22.1.1</t>
  </si>
  <si>
    <t>SILLA TIPO AUDITORIO</t>
  </si>
  <si>
    <t>22.2.1</t>
  </si>
  <si>
    <t>TOTAL AUDITORIOS 1 Y 2</t>
  </si>
  <si>
    <t>EDIFICIO DE LABORATORIOS - PISO 1</t>
  </si>
  <si>
    <t>PUESTO DE TRABAJO OFICINA</t>
  </si>
  <si>
    <t>SILLAS TIPO  LABORATORIO</t>
  </si>
  <si>
    <t>EDIFICIO DE LABORATORIOS - PISO 2</t>
  </si>
  <si>
    <t>PUESTO DE TRABAJO TIPO AULA</t>
  </si>
  <si>
    <t>TOTAL EDIFICIO DE LABORATORIOS</t>
  </si>
  <si>
    <t>TOTAL</t>
  </si>
  <si>
    <t>IVA (16%)</t>
  </si>
  <si>
    <t>GRAN TOTAL</t>
  </si>
  <si>
    <t>PRESUPUESTO MOBILIARIO FARIES</t>
  </si>
  <si>
    <t>CAP.</t>
  </si>
  <si>
    <t>EDIFICIO ADMINISTRATIVO</t>
  </si>
  <si>
    <t>SUB.</t>
  </si>
  <si>
    <t>PISO 1 - SALA ESPECIALIZADA DE SISTEMAS</t>
  </si>
  <si>
    <t>PISO 1 - SALA DE INTERNET</t>
  </si>
  <si>
    <t>Formato para cuadro de recibo parcial de Mobiliario</t>
  </si>
  <si>
    <r>
      <t xml:space="preserve">Fecha de Emisión:                            </t>
    </r>
    <r>
      <rPr>
        <sz val="7"/>
        <color indexed="23"/>
        <rFont val="Arial"/>
        <family val="2"/>
      </rPr>
      <t>15 de Marzo de 2010</t>
    </r>
  </si>
  <si>
    <t>CAMNUG-R-026</t>
  </si>
  <si>
    <r>
      <t xml:space="preserve">Revisión No:                                      </t>
    </r>
    <r>
      <rPr>
        <sz val="7"/>
        <color indexed="23"/>
        <rFont val="Arial"/>
        <family val="2"/>
      </rPr>
      <t xml:space="preserve">     2</t>
    </r>
  </si>
  <si>
    <r>
      <t xml:space="preserve">Página </t>
    </r>
    <r>
      <rPr>
        <sz val="7"/>
        <color indexed="23"/>
        <rFont val="Arial"/>
        <family val="2"/>
      </rPr>
      <t>1</t>
    </r>
    <r>
      <rPr>
        <b/>
        <sz val="7"/>
        <color indexed="23"/>
        <rFont val="Arial"/>
        <family val="2"/>
      </rPr>
      <t xml:space="preserve"> de </t>
    </r>
    <r>
      <rPr>
        <sz val="7"/>
        <color indexed="23"/>
        <rFont val="Arial"/>
        <family val="2"/>
      </rPr>
      <t>1</t>
    </r>
  </si>
  <si>
    <t>FECHA DE ELABORACION:  Marzo  8   de 2,011</t>
  </si>
  <si>
    <r>
      <t>CONTRATO DE</t>
    </r>
    <r>
      <rPr>
        <sz val="9"/>
        <rFont val="Arial"/>
        <family val="2"/>
      </rPr>
      <t xml:space="preserve">:  COMPRA E INSTALACION           </t>
    </r>
    <r>
      <rPr>
        <b/>
        <sz val="9"/>
        <rFont val="Arial"/>
        <family val="2"/>
      </rPr>
      <t>No.</t>
    </r>
    <r>
      <rPr>
        <sz val="9"/>
        <rFont val="Arial"/>
        <family val="2"/>
      </rPr>
      <t xml:space="preserve"> 024 DE 2010</t>
    </r>
  </si>
  <si>
    <t>OBJETO DEL CONTRATO:</t>
  </si>
  <si>
    <t>Vender e instalar en la Universidad Militar las divisiones de mobiliario para oficina abierta de la facultad de ciencias Básicas en el Campus de la Nueva granada</t>
  </si>
  <si>
    <r>
      <t xml:space="preserve">CONTRATISTA :   </t>
    </r>
    <r>
      <rPr>
        <sz val="9"/>
        <rFont val="Arial"/>
        <family val="2"/>
      </rPr>
      <t xml:space="preserve"> &lt;nombre del contratista&gt;</t>
    </r>
  </si>
  <si>
    <t>UNION TEMPORAL UMNG 2010</t>
  </si>
  <si>
    <r>
      <t>INTERVENTOR:</t>
    </r>
    <r>
      <rPr>
        <sz val="9"/>
        <rFont val="Arial"/>
        <family val="2"/>
      </rPr>
      <t xml:space="preserve">     &lt;nombre del interventor &gt;</t>
    </r>
  </si>
  <si>
    <t xml:space="preserve">CONSORCIO M&amp;M </t>
  </si>
  <si>
    <r>
      <t>PERIODO A PAGAR: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DEL</t>
    </r>
    <r>
      <rPr>
        <sz val="9"/>
        <rFont val="Arial"/>
        <family val="2"/>
      </rPr>
      <t xml:space="preserve"> &lt;LIQUIDACION SALDO FINAL 10%)</t>
    </r>
  </si>
  <si>
    <t>En Cajica, a los siete ( 07 ) días del mes de marzo  del año 2.011 se reunieron EUCLIDES DIAZ ROJAS representante legal del  contratista  y ERNESTO MONTAÑEZ MORA  representante legal de CONSORCIO M&amp;M quien ejerce la Interventoría , para dejar constancia por medio de la presenta acta del recibo parcial de las siguiente actividades según las condiciones que se detallan a continuación:</t>
  </si>
  <si>
    <t>CAP</t>
  </si>
  <si>
    <t>SUB</t>
  </si>
  <si>
    <t>ÍTEM</t>
  </si>
  <si>
    <t xml:space="preserve">DESCRIPCIÓN </t>
  </si>
  <si>
    <t>CONTRACTUALES</t>
  </si>
  <si>
    <t>CONDICIONES ACTUALIZADAS</t>
  </si>
  <si>
    <t>ACTA DE RECIBO N°01</t>
  </si>
  <si>
    <t>ACTA DE RECIBO N°02</t>
  </si>
  <si>
    <t>ACTA DE RECIBO N°03</t>
  </si>
  <si>
    <t>ACTA DE RECIBO N°04  FINAL</t>
  </si>
  <si>
    <t>ACUMULADO EJECUTADO</t>
  </si>
  <si>
    <t>POR EJECUTAR</t>
  </si>
  <si>
    <t>VALOR UNITARIO</t>
  </si>
  <si>
    <t>CANT</t>
  </si>
  <si>
    <t>VALOR TOTAL</t>
  </si>
  <si>
    <t>VR. TOTAL</t>
  </si>
  <si>
    <t>BIBLIOTECCA</t>
  </si>
  <si>
    <t>SUB TOTAL</t>
  </si>
  <si>
    <t>EDIFICIO ADMINISTRATIVO - PISO 1 - MEDIOS AUDIOVISUALES   (CENTRO DE ATENCION AL CIUDADANO)</t>
  </si>
  <si>
    <t>EDIFICIO ADMINISTRATIVO - PISO 2 - POSGRADOS (COORDINACION DE INVESTIGACIONES)</t>
  </si>
  <si>
    <t>PANELERIA h 1.27</t>
  </si>
  <si>
    <t>EDIFICIO ADMINISTRATIVO - PISO 2 - DECANATURA (VICERRECTORIA)</t>
  </si>
  <si>
    <t>EDIFICIO ADMINISTRATIVO - PISO 2 - VICERRECTORIA (DECANATURA)</t>
  </si>
  <si>
    <t>SILLA VICERRECTORIA (DECANATURA)</t>
  </si>
  <si>
    <t>SUPERFICIES, GABINETE, MODULO, BAJO, FALDA, BASES (PUESTO DIRECTOR PASA A PUESTO  PROFESOR PLANTA)</t>
  </si>
  <si>
    <t>PUESTO DE TRABAJO TIPO DOCENTE (CON CAJONERA)</t>
  </si>
  <si>
    <t>SILLA INTERLOCUTORA (igual a 24.7)</t>
  </si>
  <si>
    <t>PUESTO DE TRABAJO TIPO DOCENTE (SIN CAJONERA)</t>
  </si>
  <si>
    <t>SILLAS TRABAJO</t>
  </si>
  <si>
    <t>COSTO DIRECTO</t>
  </si>
  <si>
    <t>Administración</t>
  </si>
  <si>
    <t>%</t>
  </si>
  <si>
    <t>Imprevistos</t>
  </si>
  <si>
    <t>Utilidades</t>
  </si>
  <si>
    <t xml:space="preserve">IVA </t>
  </si>
  <si>
    <t>COSTO TOTAL  (1) CONTRATO INICIAL</t>
  </si>
  <si>
    <t>OBRAS NO PREVISTAS</t>
  </si>
  <si>
    <t>BIBLIOTECA</t>
  </si>
  <si>
    <t>PANELERÍA ( incluye puerta) h 1.10 (REEMPLAZA POR ITEM
 1.5.2)</t>
  </si>
  <si>
    <t>MODULO DE CIRCULACION BIBLIOTECA</t>
  </si>
  <si>
    <t>MARCO VIDRIO PARA PUESTO  DE CONTROL BIBLIOTECA</t>
  </si>
  <si>
    <t>PUESTO CONTROL</t>
  </si>
  <si>
    <t>PANELERIA (h 1.10) (REEMPLAZA POR ITEM 1.6.2)</t>
  </si>
  <si>
    <t>EDIFICIO ADMINISTRATIVO  PISO 1 SALA INTERNET</t>
  </si>
  <si>
    <t>PUESTO ATENCION</t>
  </si>
  <si>
    <t>PANELERÍA  h 1.10 (REEMPLAZA ITEM 2.2.2)</t>
  </si>
  <si>
    <t>EDIFICIO ADMINISTRATIVO - PISO 1 - MEDIOS AUDIOVISUALES (CENTRO DE ATENCION AL CIUDADANO)</t>
  </si>
  <si>
    <t>mesa de junta 4 puestos</t>
  </si>
  <si>
    <t xml:space="preserve">SILLA INTERLOCUTORA </t>
  </si>
  <si>
    <t>SUPERFICIE, MODULO SERVICIO BAJO, FALDA, BASES (no lleva gabinte) (REEMPLAZA ITEM 18.1.1</t>
  </si>
  <si>
    <t>18,1,2</t>
  </si>
  <si>
    <t xml:space="preserve"> PANELERIA h 1.65 (REEMPLAZA ITEM 7.2.2)</t>
  </si>
  <si>
    <t>PUESTO SECRETARIAL medida de 1.50 X ,60 (REEMPLAZA ITEM 7.5)</t>
  </si>
  <si>
    <t>PUESTO SECRETARIAL 1.50 X ,60  (REEMPLAZA ITEM 8.6)</t>
  </si>
  <si>
    <t>PUESTO SECRETARIA (REEMPLAZA ITEM 9.1)</t>
  </si>
  <si>
    <t>ENTREPAÑO NICHO (REEMPLAZA ITEM 10.4)</t>
  </si>
  <si>
    <t>MUEBLE BAJO CON ENTREPAÑOS</t>
  </si>
  <si>
    <t>COUNTER PARA PUESTO SECRETARIA</t>
  </si>
  <si>
    <t>18,1,1</t>
  </si>
  <si>
    <t>17,1 PUESTO SECRETARIA (REEMPLA ITEM 17.1)</t>
  </si>
  <si>
    <t>SUPERFICIES, GABINETE, MODULO, BAJO, FALDA, BASES (REEMPLA 17.2.1)</t>
  </si>
  <si>
    <t>PANELERIA ACCESO Tecnología  EN CONTABILIDAD</t>
  </si>
  <si>
    <t>PUERTA ACCESO AREA TECNOLOGIA PISO 2</t>
  </si>
  <si>
    <t>POSTERIA EN ACERO INOXIDABLE Y DEMAS ELEM 
NECESARIOS PARA SU CORRECTO FUNCIONAMIENTO  CORRECTO FUNCIONAMIENTO DE LA PUERTA DE ACCESO</t>
  </si>
  <si>
    <t>PANELERIA (incluye puerta) h 1,65 (REEMPLAZA ITEM 17.2.2)</t>
  </si>
  <si>
    <t>PROGRAMAS PISO 3 - DIRECCION</t>
  </si>
  <si>
    <t>PUESTO SECRETARIA PISO 3 (REEMPLAZA ITEM 17.1)</t>
  </si>
  <si>
    <t>18,2,2,</t>
  </si>
  <si>
    <t xml:space="preserve"> PANELERIA h 1.65</t>
  </si>
  <si>
    <t>PANELERIA  PISO TECHO AREA PREMEDICO Y HOSPITALARIA</t>
  </si>
  <si>
    <t>EDIFICIO DE PROGRAMAS - PISOS 3 PROFESORES</t>
  </si>
  <si>
    <t>18,2,1</t>
  </si>
  <si>
    <t>18,2,2</t>
  </si>
  <si>
    <t>PUERTA ACCESO AREA TECNOLOGIA PISO 3</t>
  </si>
  <si>
    <t>ESTANTE METALICO</t>
  </si>
  <si>
    <t>MESAS LABORATORIO HIDROBIOLOGIA DE 1,0*0,60  CON 
CANALETA</t>
  </si>
  <si>
    <t>MUEBLE ALMACENAMIENTO</t>
  </si>
  <si>
    <t>GABINETES AEREOS EN MADERA</t>
  </si>
  <si>
    <t>ML</t>
  </si>
  <si>
    <t>SILLAS TEKA(vestier y locker)</t>
  </si>
  <si>
    <t>MUEBLE BAJO DE LABORATORIO</t>
  </si>
  <si>
    <t>MESAS DE BIBLIOTECA (pequeña) (FISICA MECANICA 
CUANTICA)</t>
  </si>
  <si>
    <t>MESA DE  TRABAJO PARA  HIDROBIOLOGIA CON CAJONERAS Y SUPERFICIE EN CORAL  INC CANALETA Y CABLEADO ELECTRICO</t>
  </si>
  <si>
    <t>TABLEROS EN MADERA PARA LLAVES  50*50</t>
  </si>
  <si>
    <t>TAPAS PARA MUELES BAJOS</t>
  </si>
  <si>
    <t>MESA METALICA PAR BASCULA PRESICION EMPOTRADA EN  ESTANTE METALICO</t>
  </si>
  <si>
    <t>MUEBLE MICROSCOPIA CON CAJONERAS Y ACABADO EN CORAL</t>
  </si>
  <si>
    <t>ESTANTE METALICO PARA QUIMICA EN ACERO INOX</t>
  </si>
  <si>
    <t xml:space="preserve">MESA DE  REUNIONES  PARA  HIDROBIOLOGIA SIN  CAJONERAS Y SUPERFICIE EN CORAL </t>
  </si>
  <si>
    <t>MUEBLE MICROSCPIA EN L ACABADO EN CORAL Y 
CAJONERAS</t>
  </si>
  <si>
    <t>TABLERO PARA LLAVES LABORATORIO 20*20</t>
  </si>
  <si>
    <t>REPISA CON PIE DE AMIGO ACABADO EN FORMICA A=40 CM, H=1,10 Y L=8,5 PARA AULA M,ULTIPLE</t>
  </si>
  <si>
    <t xml:space="preserve">MUEBLE DE L= 1.20 ACABADO EN CORAL CAJONERAS SENCILLAS </t>
  </si>
  <si>
    <t xml:space="preserve">MESA DE JUNTAS 4 PUESTOS </t>
  </si>
  <si>
    <t>MESA STAR</t>
  </si>
  <si>
    <t>ADMISIONES Y REGISTRO</t>
  </si>
  <si>
    <t>SUPERFICIES, , MODULO, BAJO,  BASES (1,50 X ,60 SIN GABINETE)</t>
  </si>
  <si>
    <t xml:space="preserve"> PANELERIA  h 1.10</t>
  </si>
  <si>
    <t>PORTERIA PRINCIPAL</t>
  </si>
  <si>
    <t>SILLAS PORTERIA</t>
  </si>
  <si>
    <t>Supercie, modulo de servicio, bajo</t>
  </si>
  <si>
    <t>Paneleria</t>
  </si>
  <si>
    <t>-</t>
  </si>
  <si>
    <t>OFICINA COMANDOS</t>
  </si>
  <si>
    <t>SUPERFICIE, GABINETE, MODULO SERVICIO BAJO, FALDA, 
BASES</t>
  </si>
  <si>
    <t>SOPORTES PARA PANTALLAS</t>
  </si>
  <si>
    <t>SALUD OCUPACIONAL</t>
  </si>
  <si>
    <t>SILLA INTERRLOCUTORA</t>
  </si>
  <si>
    <t>POSTERIA EN ACERO INOXIDABLE Y DEMAS ELEM
 NECESARIOS PARA SU CORRECTO FUNCIONAMIENTO  CORRECTO FUNCIONAMIENTO DE LA PUERTA DE ACCESO</t>
  </si>
  <si>
    <t>POSTERIA EN ACERO INOXIDABLE Y DEMAS ELEM NECESARIOS PARA SU CORRECTO FUNCIONAMIENTO  CORRECTO FUNCIONAMIENTO DE LA PUERTA DE ACCESO</t>
  </si>
  <si>
    <t>OTROS</t>
  </si>
  <si>
    <t>TAPA  ZOCALO CON TROQUEL UNIVERSAL</t>
  </si>
  <si>
    <t>DUCTOS VERTICALES PUESTO DE SISTEMAS</t>
  </si>
  <si>
    <t xml:space="preserve">COSTO TOTAL  (2) </t>
  </si>
  <si>
    <t>GRAN TOTAL  (1+2)</t>
  </si>
  <si>
    <t>VALOR PRESENTE ACTA N°_________________</t>
  </si>
  <si>
    <t>MENOS VALOR OTROSI</t>
  </si>
  <si>
    <t>$</t>
  </si>
  <si>
    <t xml:space="preserve">AMORTIZACIÓN ANTICIPO(100%)  AMORTIZADO EN ACTA 3 SALDO TOTAL </t>
  </si>
  <si>
    <t>AMORTIZACION ANTICIPO</t>
  </si>
  <si>
    <t>RETENCION DE GARANTIA</t>
  </si>
  <si>
    <t>VALOR A PAGAR ACTA N°___________________</t>
  </si>
  <si>
    <t>RECIBIDO</t>
  </si>
  <si>
    <t>VALOR EN LETRAS:</t>
  </si>
  <si>
    <t>DOSCIENTOS DOS MILLONES OCHENTA Y DOS MIL TRESCIENTOS TREINTA   PESOS  CON 90/100 MCTE.</t>
  </si>
  <si>
    <t>CONTRATO INICIAL</t>
  </si>
  <si>
    <t>ACTA 01</t>
  </si>
  <si>
    <t>POR AMORTIZAR</t>
  </si>
  <si>
    <t>ACTA 02</t>
  </si>
  <si>
    <t xml:space="preserve">OTROSI </t>
  </si>
  <si>
    <t>ING. MARIA ASTRID VARGAS N.</t>
  </si>
  <si>
    <t>ING. ERNESTO MONTAÑEZ MORA</t>
  </si>
  <si>
    <t>DIRECTOR CONTRATISTA</t>
  </si>
  <si>
    <t xml:space="preserve">REPRESENTANTE LEGAL  </t>
  </si>
  <si>
    <t>TOTAL RECIBIDO</t>
  </si>
  <si>
    <t xml:space="preserve">CONSORCIO M&amp;M INGENIEROS ASOCIADOS LTDA. </t>
  </si>
  <si>
    <t>SALDO POR AMORTIZAR</t>
  </si>
  <si>
    <t>ING. FERNANDO CASTIBLANCO</t>
  </si>
  <si>
    <t>VoBo DIRECTOR DEL PROYECTO</t>
  </si>
  <si>
    <t>LIQ</t>
  </si>
  <si>
    <t>TOTAL A COBRAR PR ACTA 3</t>
  </si>
  <si>
    <t>RECIBO 3</t>
  </si>
  <si>
    <t>DIFRENCIA REAL POR FACTURAR EN ACTA 3</t>
  </si>
  <si>
    <t>DIVISIÓN PISO-TECHO EN VIDRIO TEMPLADO, HERRAJES EN ACERO (incluye puerta y sand blasting)</t>
  </si>
  <si>
    <t>PISO 2 - VICERRECTORÍA Y COORDINACIÓN ACADÉMICA</t>
  </si>
  <si>
    <t>3.2.1</t>
  </si>
  <si>
    <t>3.3.1</t>
  </si>
  <si>
    <t>PISO 2 - EXTENSIÓN Y PROYECCIÓN SOCIAL</t>
  </si>
  <si>
    <t>4.3.1</t>
  </si>
  <si>
    <t>3.10</t>
  </si>
  <si>
    <t>3.11</t>
  </si>
  <si>
    <t>3.12</t>
  </si>
  <si>
    <t>4.9</t>
  </si>
  <si>
    <t>4.10</t>
  </si>
  <si>
    <t>PISO 2 - OFICINA DE EGRESADOS</t>
  </si>
  <si>
    <t>5.1.1</t>
  </si>
  <si>
    <t>5.7</t>
  </si>
  <si>
    <t>5.8</t>
  </si>
  <si>
    <t>PISO 2 - CONSEJERÍA</t>
  </si>
  <si>
    <t>6.1.1</t>
  </si>
  <si>
    <t>6.4</t>
  </si>
  <si>
    <t>6.5</t>
  </si>
  <si>
    <t>6.6</t>
  </si>
  <si>
    <t>6.7</t>
  </si>
  <si>
    <t>6.8</t>
  </si>
  <si>
    <t>PISO 3 -DECANATURA 1</t>
  </si>
  <si>
    <t>PUESTO DECANATURA</t>
  </si>
  <si>
    <t>MESA DECANATURA</t>
  </si>
  <si>
    <t>SILLA DECANATURA</t>
  </si>
  <si>
    <t>SILLA INTERLOCUTORA DECANATURA</t>
  </si>
  <si>
    <t>SILLA REUNIONES DECANATURA</t>
  </si>
  <si>
    <t>PISO 3 -DECANATURA 2</t>
  </si>
  <si>
    <t>PISO 3 - SALA DE REUNIONES</t>
  </si>
  <si>
    <t>MESA REUNIONES DECANATURA (12 PUESTOS)</t>
  </si>
  <si>
    <t>PISO 3 - SALA DE ESPERA</t>
  </si>
  <si>
    <t>SOFA ESPERA DECANATURA</t>
  </si>
  <si>
    <t>MESA ESPERA DECANATURA</t>
  </si>
  <si>
    <t>EDIFICIO AULAS</t>
  </si>
  <si>
    <t>PISO 1 - AULAS TIPO  B Y C</t>
  </si>
  <si>
    <t>PISO 1 - AULAS ESPECIALIZADAS SISTEMAS E IDIOMAS</t>
  </si>
  <si>
    <t>PUESTO SISTEMAS (con capacidad para 4 personas)</t>
  </si>
  <si>
    <t>PISO 1 - CENTRO DE RECARGA</t>
  </si>
  <si>
    <t>PISO 2 - AULAS TIPO  B Y C</t>
  </si>
  <si>
    <t>PISO 2 - AULAS ESPECIALIZADAS SISTEMAS E IDIOMAS</t>
  </si>
  <si>
    <t>4.3</t>
  </si>
  <si>
    <t>4.4</t>
  </si>
  <si>
    <t>SILLAS PARASOLES</t>
  </si>
  <si>
    <t>PISO 2 - TERRAZA</t>
  </si>
  <si>
    <t>PISO 3 - AULAS TIPO  B Y C</t>
  </si>
  <si>
    <t>PISO 3 - AULAS ESPECIALIZADAS SISTEMAS E IDIOMAS</t>
  </si>
  <si>
    <t>PISO 3 - SALAS DE ESTUDIO</t>
  </si>
  <si>
    <t>PISO 3 - SALA DE DESCANSO</t>
  </si>
  <si>
    <t>EDIFICIO DE PROGRAMAS</t>
  </si>
  <si>
    <t>PISO 3 - TERRAZA</t>
  </si>
  <si>
    <t>LOCKERS</t>
  </si>
  <si>
    <t>PISO 1</t>
  </si>
  <si>
    <t>12.1.1</t>
  </si>
  <si>
    <t>PISO 2</t>
  </si>
  <si>
    <t>12.2.1</t>
  </si>
  <si>
    <t>PISO 3</t>
  </si>
  <si>
    <t>12.3.1</t>
  </si>
  <si>
    <t>PISO 1 - BIBLIOTECA</t>
  </si>
  <si>
    <t>MESAS DE BIBLIOTECA (grande, para 6 puestos)</t>
  </si>
  <si>
    <t>MESAS DE BIBLIOTECA (pequeña, para 4 puestos)</t>
  </si>
  <si>
    <t>ESTANTERIA HEMEROTECA (módulos)</t>
  </si>
  <si>
    <t>ESTANTERIA COLECCIÓN DE REFERENCIA (módulos)</t>
  </si>
  <si>
    <t>MUEBLES DE CD´S</t>
  </si>
  <si>
    <t>PLANOTECA</t>
  </si>
  <si>
    <t>ARCHIVO RODANTE (3 CUERPOS)</t>
  </si>
  <si>
    <t>MUEBLE CATÁLOGO DE CONSULTAS</t>
  </si>
  <si>
    <t>EXHIBIDOR DE PERIÓDICOS</t>
  </si>
  <si>
    <t>CARRO BIBLIOTECA</t>
  </si>
  <si>
    <t>MÓDULO DE PRÉSTAMO</t>
  </si>
  <si>
    <t>VITRINA EXHIBICIÓN</t>
  </si>
  <si>
    <t>PUESTO COORDINADOR (BIBLIOTECÓLOGA)</t>
  </si>
  <si>
    <t>MESA DE TRABAJO</t>
  </si>
  <si>
    <t>MUEBLE DE VIDRIO</t>
  </si>
  <si>
    <t>ARCHIVO RODANTE BIBLIOTECA</t>
  </si>
  <si>
    <t>ANTENAS DE CONTROL</t>
  </si>
  <si>
    <t>BUZÓN</t>
  </si>
  <si>
    <t>MUEBLE LECTOR PERIÓDICO</t>
  </si>
  <si>
    <t>SILLAS CARGA (PARA MUEBLE CATÁLOGO DE CONSULTA)</t>
  </si>
  <si>
    <t>1.9</t>
  </si>
  <si>
    <t>1.10</t>
  </si>
  <si>
    <t>1.11</t>
  </si>
  <si>
    <t>1.12</t>
  </si>
  <si>
    <t>1.13</t>
  </si>
  <si>
    <t>1.14</t>
  </si>
  <si>
    <t>1.15</t>
  </si>
  <si>
    <t>1.16</t>
  </si>
  <si>
    <t>1.16.1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</si>
  <si>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</si>
  <si>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</si>
  <si>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</si>
  <si>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</si>
  <si>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</si>
  <si>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</si>
  <si>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</si>
  <si>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</si>
  <si>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</si>
  <si>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</si>
  <si>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</si>
  <si>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</si>
  <si>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</si>
  <si>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</si>
  <si>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</si>
  <si>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</si>
  <si>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</si>
  <si>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PISO 2 - PROGRAMAS</t>
  </si>
  <si>
    <t>PISO 2 - PROGRAMA FACULTAD CIENCIAS ECONÓMICAS</t>
  </si>
  <si>
    <t>3.2.3</t>
  </si>
  <si>
    <t>3.4</t>
  </si>
  <si>
    <t>3.5</t>
  </si>
  <si>
    <t>3.6</t>
  </si>
  <si>
    <t>3.7</t>
  </si>
  <si>
    <t>3.7.1</t>
  </si>
  <si>
    <t>3.7.2</t>
  </si>
  <si>
    <t>PISO 2 - PROGRAMA INGENIERÍA</t>
  </si>
  <si>
    <t>ARCHIVO RODANTE</t>
  </si>
  <si>
    <t>3.8</t>
  </si>
  <si>
    <t>3.9</t>
  </si>
  <si>
    <t>4.2.1</t>
  </si>
  <si>
    <t>4.2.2</t>
  </si>
  <si>
    <t>4.5</t>
  </si>
  <si>
    <t>4.6</t>
  </si>
  <si>
    <t>4.7</t>
  </si>
  <si>
    <t>4.7.1</t>
  </si>
  <si>
    <t>4.7.2</t>
  </si>
  <si>
    <t>4.8</t>
  </si>
  <si>
    <t>PISO 2 - SALA DE ESPERA</t>
  </si>
  <si>
    <t>PISO 3 - PROGRAMA DERECHO Y PROGRAMA DE RELACIONES INTERNACIONALES, ESTRATEGIA Y SEGURIDAD</t>
  </si>
  <si>
    <t>PISO 3 - SALA DE DESCANSO DE PROFESORES</t>
  </si>
  <si>
    <t>7.1.1</t>
  </si>
  <si>
    <t>7.3.1</t>
  </si>
  <si>
    <t>AUDITORIO 2</t>
  </si>
  <si>
    <t>MESA EXPOSITORES</t>
  </si>
  <si>
    <t>SILLAS ORATORIO (2 PUESTOS)</t>
  </si>
  <si>
    <t>MUEBLE ALTAR ORATORIO</t>
  </si>
  <si>
    <t>ESPECIF.</t>
  </si>
  <si>
    <t>AC-01</t>
  </si>
  <si>
    <t>AR-01</t>
  </si>
  <si>
    <t>AR-02</t>
  </si>
  <si>
    <t>AR-03</t>
  </si>
  <si>
    <t>BU-01</t>
  </si>
  <si>
    <t>CB-01</t>
  </si>
  <si>
    <t>DPT-01</t>
  </si>
  <si>
    <t>EN-01</t>
  </si>
  <si>
    <t>ECR-01</t>
  </si>
  <si>
    <t>EC-01</t>
  </si>
  <si>
    <t>EH-01</t>
  </si>
  <si>
    <t>EP-01</t>
  </si>
  <si>
    <t>LO-01</t>
  </si>
  <si>
    <t>MT-01</t>
  </si>
  <si>
    <t>MD-01</t>
  </si>
  <si>
    <t>MED-01</t>
  </si>
  <si>
    <t>ME-01</t>
  </si>
  <si>
    <t>MEX-01</t>
  </si>
  <si>
    <t>MR-01</t>
  </si>
  <si>
    <t>MRD-01</t>
  </si>
  <si>
    <t>MSR-01</t>
  </si>
  <si>
    <t>MC-01</t>
  </si>
  <si>
    <t>MBI-01</t>
  </si>
  <si>
    <t>MBI-02</t>
  </si>
  <si>
    <t>MDE-01</t>
  </si>
  <si>
    <t>MSA-01</t>
  </si>
  <si>
    <t>MPR-01</t>
  </si>
  <si>
    <t>MAO-01</t>
  </si>
  <si>
    <t>MCC-01</t>
  </si>
  <si>
    <t>MVI-01</t>
  </si>
  <si>
    <t>MLP-01</t>
  </si>
  <si>
    <t>MDC-01</t>
  </si>
  <si>
    <t>PAN-02</t>
  </si>
  <si>
    <t>PAN-01</t>
  </si>
  <si>
    <t>PAN-03</t>
  </si>
  <si>
    <t>PAN-04</t>
  </si>
  <si>
    <t>PAR-01</t>
  </si>
  <si>
    <t>PLA-01</t>
  </si>
  <si>
    <t>PAU-01</t>
  </si>
  <si>
    <t>PTP-01</t>
  </si>
  <si>
    <t>PDE-01</t>
  </si>
  <si>
    <t>PDO-01</t>
  </si>
  <si>
    <t>PSA-01</t>
  </si>
  <si>
    <t>PSEC-01</t>
  </si>
  <si>
    <t>PSCO-01</t>
  </si>
  <si>
    <t>PSI3-01</t>
  </si>
  <si>
    <t>PSI4-01</t>
  </si>
  <si>
    <t>SAU-01</t>
  </si>
  <si>
    <t>SDE-01</t>
  </si>
  <si>
    <t>SIN-01</t>
  </si>
  <si>
    <t>SID-01</t>
  </si>
  <si>
    <t>SIV-01</t>
  </si>
  <si>
    <t>SOP-01</t>
  </si>
  <si>
    <t>SPS-01</t>
  </si>
  <si>
    <t>SPSI-01</t>
  </si>
  <si>
    <t>SRDE-01</t>
  </si>
  <si>
    <t>SSRE-01</t>
  </si>
  <si>
    <t>STAU-01</t>
  </si>
  <si>
    <t>SVIC-01</t>
  </si>
  <si>
    <t>SCAF-01</t>
  </si>
  <si>
    <t>SCAR-01</t>
  </si>
  <si>
    <t>SORA-01</t>
  </si>
  <si>
    <t>SPME-01</t>
  </si>
  <si>
    <t>SISA-01</t>
  </si>
  <si>
    <t>SIPAR-01</t>
  </si>
  <si>
    <t>SCOM-01</t>
  </si>
  <si>
    <t>SODE-01</t>
  </si>
  <si>
    <t>SEDEC-01</t>
  </si>
  <si>
    <t>SOFIN-01</t>
  </si>
  <si>
    <t>SOFCO-01</t>
  </si>
  <si>
    <t>SUPMB-01</t>
  </si>
  <si>
    <t>SUPMB-02</t>
  </si>
  <si>
    <t>SUPMB-03</t>
  </si>
  <si>
    <t>SUCAR-01</t>
  </si>
  <si>
    <t>SUGAB-04</t>
  </si>
  <si>
    <t>VITEXH-01</t>
  </si>
  <si>
    <t>CIT-01</t>
  </si>
  <si>
    <t>CUBICULO DE ESTUDIO INDIVIDUAL DE TRABAJO</t>
  </si>
  <si>
    <t>PANELERIA CUBICULO INDIVIDUAL DE TRABAJO</t>
  </si>
  <si>
    <t>MAPOTECA</t>
  </si>
  <si>
    <t>MAP</t>
  </si>
  <si>
    <t>ESC-01</t>
  </si>
  <si>
    <t>ESCALERILLA DOS PELDAÑOS</t>
  </si>
  <si>
    <t>UND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</si>
</sst>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_€_-;\-* #,##0\ _€_-;_-* &quot;-&quot;??\ _€_-;_-@_-"/>
    <numFmt numFmtId="181" formatCode="_(&quot;C$&quot;* #,##0.00_);_(&quot;C$&quot;* \(#,##0.00\);_(&quot;C$&quot;* &quot;-&quot;??_);_(@_)"/>
    <numFmt numFmtId="182" formatCode="#,##0.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4"/>
      <color indexed="23"/>
      <name val="Arial"/>
      <family val="2"/>
    </font>
    <font>
      <b/>
      <sz val="7"/>
      <color indexed="23"/>
      <name val="Arial"/>
      <family val="2"/>
    </font>
    <font>
      <sz val="7"/>
      <color indexed="23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color indexed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Arial Narrow"/>
      <family val="2"/>
    </font>
    <font>
      <b/>
      <sz val="7"/>
      <name val="Calibri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 Narrow"/>
      <family val="2"/>
    </font>
    <font>
      <b/>
      <sz val="8"/>
      <color indexed="10"/>
      <name val="Arial Narrow"/>
      <family val="2"/>
    </font>
    <font>
      <b/>
      <sz val="7"/>
      <color indexed="10"/>
      <name val="Arial Narrow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hair"/>
    </border>
    <border>
      <left style="thin"/>
      <right/>
      <top/>
      <bottom style="hair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70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64" fillId="0" borderId="0" xfId="0" applyFont="1" applyFill="1" applyAlignment="1">
      <alignment vertical="center"/>
    </xf>
    <xf numFmtId="180" fontId="0" fillId="0" borderId="10" xfId="46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64" fillId="0" borderId="0" xfId="0" applyFont="1" applyFill="1" applyAlignment="1">
      <alignment horizontal="center" vertical="center"/>
    </xf>
    <xf numFmtId="0" fontId="64" fillId="0" borderId="10" xfId="0" applyFont="1" applyFill="1" applyBorder="1" applyAlignment="1">
      <alignment horizontal="right" vertical="center"/>
    </xf>
    <xf numFmtId="180" fontId="64" fillId="0" borderId="10" xfId="46" applyNumberFormat="1" applyFont="1" applyFill="1" applyBorder="1" applyAlignment="1">
      <alignment horizontal="right" vertical="center"/>
    </xf>
    <xf numFmtId="180" fontId="64" fillId="0" borderId="0" xfId="46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80" fontId="0" fillId="0" borderId="0" xfId="46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0" fontId="0" fillId="0" borderId="0" xfId="46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180" fontId="0" fillId="0" borderId="0" xfId="73" applyNumberFormat="1" applyFont="1" applyFill="1" applyAlignment="1">
      <alignment horizontal="right" vertical="center"/>
    </xf>
    <xf numFmtId="180" fontId="0" fillId="0" borderId="0" xfId="73" applyNumberFormat="1" applyFont="1" applyFill="1" applyAlignment="1">
      <alignment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center" vertical="center"/>
    </xf>
    <xf numFmtId="180" fontId="64" fillId="0" borderId="12" xfId="46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0" fontId="0" fillId="0" borderId="12" xfId="46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80" fontId="64" fillId="0" borderId="12" xfId="46" applyNumberFormat="1" applyFont="1" applyFill="1" applyBorder="1" applyAlignment="1">
      <alignment vertical="center"/>
    </xf>
    <xf numFmtId="16" fontId="0" fillId="0" borderId="11" xfId="0" applyNumberFormat="1" applyFill="1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0" fontId="2" fillId="0" borderId="14" xfId="46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80" fontId="2" fillId="0" borderId="16" xfId="46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0" xfId="81" applyFont="1">
      <alignment/>
      <protection/>
    </xf>
    <xf numFmtId="0" fontId="3" fillId="0" borderId="0" xfId="81">
      <alignment/>
      <protection/>
    </xf>
    <xf numFmtId="0" fontId="7" fillId="0" borderId="17" xfId="81" applyFont="1" applyBorder="1">
      <alignment/>
      <protection/>
    </xf>
    <xf numFmtId="0" fontId="7" fillId="0" borderId="18" xfId="81" applyFont="1" applyBorder="1">
      <alignment/>
      <protection/>
    </xf>
    <xf numFmtId="0" fontId="8" fillId="0" borderId="18" xfId="81" applyFont="1" applyBorder="1">
      <alignment/>
      <protection/>
    </xf>
    <xf numFmtId="181" fontId="8" fillId="0" borderId="18" xfId="79" applyFont="1" applyBorder="1" applyAlignment="1">
      <alignment horizontal="center"/>
    </xf>
    <xf numFmtId="4" fontId="8" fillId="0" borderId="18" xfId="79" applyNumberFormat="1" applyFont="1" applyBorder="1" applyAlignment="1">
      <alignment horizontal="right"/>
    </xf>
    <xf numFmtId="0" fontId="9" fillId="0" borderId="18" xfId="81" applyFont="1" applyBorder="1">
      <alignment/>
      <protection/>
    </xf>
    <xf numFmtId="4" fontId="9" fillId="0" borderId="18" xfId="81" applyNumberFormat="1" applyFont="1" applyBorder="1" applyAlignment="1">
      <alignment horizontal="right"/>
      <protection/>
    </xf>
    <xf numFmtId="4" fontId="9" fillId="0" borderId="18" xfId="81" applyNumberFormat="1" applyFont="1" applyBorder="1">
      <alignment/>
      <protection/>
    </xf>
    <xf numFmtId="4" fontId="9" fillId="0" borderId="19" xfId="81" applyNumberFormat="1" applyFont="1" applyBorder="1">
      <alignment/>
      <protection/>
    </xf>
    <xf numFmtId="0" fontId="7" fillId="0" borderId="20" xfId="81" applyFont="1" applyBorder="1">
      <alignment/>
      <protection/>
    </xf>
    <xf numFmtId="0" fontId="7" fillId="0" borderId="0" xfId="81" applyFont="1" applyBorder="1">
      <alignment/>
      <protection/>
    </xf>
    <xf numFmtId="0" fontId="8" fillId="0" borderId="0" xfId="81" applyFont="1" applyBorder="1">
      <alignment/>
      <protection/>
    </xf>
    <xf numFmtId="181" fontId="8" fillId="0" borderId="0" xfId="79" applyFont="1" applyBorder="1" applyAlignment="1">
      <alignment horizontal="center"/>
    </xf>
    <xf numFmtId="4" fontId="8" fillId="0" borderId="0" xfId="79" applyNumberFormat="1" applyFont="1" applyBorder="1" applyAlignment="1">
      <alignment horizontal="right"/>
    </xf>
    <xf numFmtId="0" fontId="9" fillId="0" borderId="0" xfId="81" applyFont="1" applyBorder="1">
      <alignment/>
      <protection/>
    </xf>
    <xf numFmtId="4" fontId="9" fillId="0" borderId="0" xfId="81" applyNumberFormat="1" applyFont="1" applyBorder="1" applyAlignment="1">
      <alignment horizontal="right"/>
      <protection/>
    </xf>
    <xf numFmtId="4" fontId="9" fillId="0" borderId="0" xfId="81" applyNumberFormat="1" applyFont="1" applyBorder="1">
      <alignment/>
      <protection/>
    </xf>
    <xf numFmtId="4" fontId="9" fillId="0" borderId="21" xfId="81" applyNumberFormat="1" applyFont="1" applyBorder="1">
      <alignment/>
      <protection/>
    </xf>
    <xf numFmtId="0" fontId="7" fillId="0" borderId="22" xfId="81" applyFont="1" applyBorder="1">
      <alignment/>
      <protection/>
    </xf>
    <xf numFmtId="0" fontId="7" fillId="0" borderId="23" xfId="81" applyFont="1" applyBorder="1">
      <alignment/>
      <protection/>
    </xf>
    <xf numFmtId="0" fontId="8" fillId="0" borderId="23" xfId="81" applyFont="1" applyBorder="1">
      <alignment/>
      <protection/>
    </xf>
    <xf numFmtId="181" fontId="8" fillId="0" borderId="23" xfId="79" applyFont="1" applyBorder="1" applyAlignment="1">
      <alignment horizontal="center"/>
    </xf>
    <xf numFmtId="4" fontId="8" fillId="0" borderId="23" xfId="79" applyNumberFormat="1" applyFont="1" applyBorder="1" applyAlignment="1">
      <alignment horizontal="right"/>
    </xf>
    <xf numFmtId="0" fontId="9" fillId="0" borderId="23" xfId="81" applyFont="1" applyBorder="1">
      <alignment/>
      <protection/>
    </xf>
    <xf numFmtId="4" fontId="9" fillId="0" borderId="23" xfId="81" applyNumberFormat="1" applyFont="1" applyBorder="1" applyAlignment="1">
      <alignment horizontal="right"/>
      <protection/>
    </xf>
    <xf numFmtId="4" fontId="9" fillId="0" borderId="23" xfId="81" applyNumberFormat="1" applyFont="1" applyBorder="1">
      <alignment/>
      <protection/>
    </xf>
    <xf numFmtId="4" fontId="9" fillId="0" borderId="24" xfId="81" applyNumberFormat="1" applyFont="1" applyBorder="1">
      <alignment/>
      <protection/>
    </xf>
    <xf numFmtId="0" fontId="3" fillId="0" borderId="0" xfId="81" applyFont="1" applyBorder="1">
      <alignment/>
      <protection/>
    </xf>
    <xf numFmtId="0" fontId="3" fillId="0" borderId="0" xfId="81" applyBorder="1">
      <alignment/>
      <protection/>
    </xf>
    <xf numFmtId="181" fontId="9" fillId="0" borderId="0" xfId="79" applyFont="1" applyBorder="1" applyAlignment="1">
      <alignment horizontal="left"/>
    </xf>
    <xf numFmtId="4" fontId="12" fillId="33" borderId="18" xfId="81" applyNumberFormat="1" applyFont="1" applyFill="1" applyBorder="1" applyAlignment="1">
      <alignment horizontal="center" vertical="center" wrapText="1"/>
      <protection/>
    </xf>
    <xf numFmtId="0" fontId="13" fillId="0" borderId="0" xfId="81" applyFont="1">
      <alignment/>
      <protection/>
    </xf>
    <xf numFmtId="0" fontId="12" fillId="34" borderId="25" xfId="81" applyFont="1" applyFill="1" applyBorder="1" applyAlignment="1">
      <alignment horizontal="center" vertical="center" wrapText="1"/>
      <protection/>
    </xf>
    <xf numFmtId="0" fontId="12" fillId="34" borderId="26" xfId="81" applyFont="1" applyFill="1" applyBorder="1" applyAlignment="1">
      <alignment horizontal="center" vertical="center" wrapText="1"/>
      <protection/>
    </xf>
    <xf numFmtId="4" fontId="12" fillId="34" borderId="26" xfId="81" applyNumberFormat="1" applyFont="1" applyFill="1" applyBorder="1" applyAlignment="1">
      <alignment horizontal="right" vertical="center" wrapText="1"/>
      <protection/>
    </xf>
    <xf numFmtId="0" fontId="12" fillId="34" borderId="27" xfId="81" applyFont="1" applyFill="1" applyBorder="1" applyAlignment="1">
      <alignment horizontal="center" vertical="center" wrapText="1"/>
      <protection/>
    </xf>
    <xf numFmtId="4" fontId="12" fillId="34" borderId="25" xfId="81" applyNumberFormat="1" applyFont="1" applyFill="1" applyBorder="1" applyAlignment="1">
      <alignment horizontal="right" vertical="center" wrapText="1"/>
      <protection/>
    </xf>
    <xf numFmtId="4" fontId="12" fillId="34" borderId="28" xfId="81" applyNumberFormat="1" applyFont="1" applyFill="1" applyBorder="1" applyAlignment="1">
      <alignment horizontal="right" vertical="center" wrapText="1"/>
      <protection/>
    </xf>
    <xf numFmtId="4" fontId="12" fillId="34" borderId="26" xfId="81" applyNumberFormat="1" applyFont="1" applyFill="1" applyBorder="1" applyAlignment="1">
      <alignment horizontal="center" vertical="center" wrapText="1"/>
      <protection/>
    </xf>
    <xf numFmtId="4" fontId="12" fillId="34" borderId="29" xfId="81" applyNumberFormat="1" applyFont="1" applyFill="1" applyBorder="1" applyAlignment="1">
      <alignment horizontal="right" vertical="center" wrapText="1"/>
      <protection/>
    </xf>
    <xf numFmtId="4" fontId="12" fillId="34" borderId="30" xfId="81" applyNumberFormat="1" applyFont="1" applyFill="1" applyBorder="1" applyAlignment="1">
      <alignment horizontal="center" vertical="center" wrapText="1"/>
      <protection/>
    </xf>
    <xf numFmtId="4" fontId="12" fillId="34" borderId="27" xfId="81" applyNumberFormat="1" applyFont="1" applyFill="1" applyBorder="1" applyAlignment="1">
      <alignment horizontal="right" vertical="center" wrapText="1"/>
      <protection/>
    </xf>
    <xf numFmtId="4" fontId="12" fillId="34" borderId="31" xfId="81" applyNumberFormat="1" applyFont="1" applyFill="1" applyBorder="1" applyAlignment="1">
      <alignment horizontal="right" vertical="center" wrapText="1"/>
      <protection/>
    </xf>
    <xf numFmtId="4" fontId="12" fillId="34" borderId="32" xfId="81" applyNumberFormat="1" applyFont="1" applyFill="1" applyBorder="1" applyAlignment="1">
      <alignment horizontal="center" vertical="center" wrapText="1"/>
      <protection/>
    </xf>
    <xf numFmtId="4" fontId="12" fillId="34" borderId="33" xfId="81" applyNumberFormat="1" applyFont="1" applyFill="1" applyBorder="1" applyAlignment="1">
      <alignment horizontal="center" vertical="center" wrapText="1"/>
      <protection/>
    </xf>
    <xf numFmtId="4" fontId="12" fillId="34" borderId="34" xfId="75" applyNumberFormat="1" applyFont="1" applyFill="1" applyBorder="1" applyAlignment="1">
      <alignment horizontal="center" vertical="center" wrapText="1"/>
    </xf>
    <xf numFmtId="4" fontId="12" fillId="34" borderId="28" xfId="81" applyNumberFormat="1" applyFont="1" applyFill="1" applyBorder="1" applyAlignment="1">
      <alignment horizontal="center" vertical="center" wrapText="1"/>
      <protection/>
    </xf>
    <xf numFmtId="0" fontId="14" fillId="0" borderId="0" xfId="81" applyFont="1" applyFill="1" applyBorder="1" applyAlignment="1">
      <alignment horizontal="center" vertical="top"/>
      <protection/>
    </xf>
    <xf numFmtId="0" fontId="15" fillId="0" borderId="35" xfId="81" applyFont="1" applyFill="1" applyBorder="1" applyAlignment="1">
      <alignment vertical="justify" wrapText="1"/>
      <protection/>
    </xf>
    <xf numFmtId="0" fontId="15" fillId="0" borderId="36" xfId="81" applyFont="1" applyFill="1" applyBorder="1" applyAlignment="1">
      <alignment vertical="justify" wrapText="1"/>
      <protection/>
    </xf>
    <xf numFmtId="0" fontId="16" fillId="0" borderId="37" xfId="81" applyFont="1" applyFill="1" applyBorder="1" applyAlignment="1">
      <alignment horizontal="center"/>
      <protection/>
    </xf>
    <xf numFmtId="0" fontId="16" fillId="0" borderId="35" xfId="81" applyFont="1" applyFill="1" applyBorder="1" applyAlignment="1">
      <alignment/>
      <protection/>
    </xf>
    <xf numFmtId="0" fontId="16" fillId="0" borderId="36" xfId="81" applyFont="1" applyFill="1" applyBorder="1" applyAlignment="1">
      <alignment horizontal="center"/>
      <protection/>
    </xf>
    <xf numFmtId="3" fontId="17" fillId="0" borderId="36" xfId="79" applyNumberFormat="1" applyFont="1" applyFill="1" applyBorder="1" applyAlignment="1">
      <alignment vertical="center"/>
    </xf>
    <xf numFmtId="4" fontId="9" fillId="0" borderId="36" xfId="81" applyNumberFormat="1" applyFont="1" applyFill="1" applyBorder="1" applyAlignment="1">
      <alignment horizontal="right" vertical="center"/>
      <protection/>
    </xf>
    <xf numFmtId="3" fontId="17" fillId="0" borderId="38" xfId="48" applyNumberFormat="1" applyFont="1" applyFill="1" applyBorder="1" applyAlignment="1">
      <alignment horizontal="right" vertical="center"/>
    </xf>
    <xf numFmtId="4" fontId="18" fillId="0" borderId="35" xfId="81" applyNumberFormat="1" applyFont="1" applyFill="1" applyBorder="1" applyAlignment="1">
      <alignment horizontal="right" vertical="top" wrapText="1"/>
      <protection/>
    </xf>
    <xf numFmtId="4" fontId="18" fillId="0" borderId="39" xfId="81" applyNumberFormat="1" applyFont="1" applyFill="1" applyBorder="1" applyAlignment="1">
      <alignment horizontal="right" vertical="top" wrapText="1"/>
      <protection/>
    </xf>
    <xf numFmtId="4" fontId="18" fillId="0" borderId="40" xfId="81" applyNumberFormat="1" applyFont="1" applyFill="1" applyBorder="1" applyAlignment="1">
      <alignment horizontal="right" vertical="top" wrapText="1"/>
      <protection/>
    </xf>
    <xf numFmtId="4" fontId="18" fillId="0" borderId="41" xfId="81" applyNumberFormat="1" applyFont="1" applyFill="1" applyBorder="1" applyAlignment="1">
      <alignment horizontal="right" vertical="top" wrapText="1"/>
      <protection/>
    </xf>
    <xf numFmtId="4" fontId="18" fillId="0" borderId="23" xfId="81" applyNumberFormat="1" applyFont="1" applyFill="1" applyBorder="1" applyAlignment="1">
      <alignment horizontal="right" vertical="top" wrapText="1"/>
      <protection/>
    </xf>
    <xf numFmtId="4" fontId="18" fillId="0" borderId="40" xfId="81" applyNumberFormat="1" applyFont="1" applyFill="1" applyBorder="1" applyAlignment="1">
      <alignment horizontal="center" vertical="top"/>
      <protection/>
    </xf>
    <xf numFmtId="4" fontId="18" fillId="0" borderId="38" xfId="81" applyNumberFormat="1" applyFont="1" applyFill="1" applyBorder="1" applyAlignment="1">
      <alignment horizontal="right" vertical="top" wrapText="1"/>
      <protection/>
    </xf>
    <xf numFmtId="4" fontId="18" fillId="0" borderId="32" xfId="81" applyNumberFormat="1" applyFont="1" applyFill="1" applyBorder="1" applyAlignment="1">
      <alignment horizontal="right" vertical="top" wrapText="1"/>
      <protection/>
    </xf>
    <xf numFmtId="4" fontId="18" fillId="0" borderId="33" xfId="81" applyNumberFormat="1" applyFont="1" applyFill="1" applyBorder="1" applyAlignment="1">
      <alignment horizontal="right" vertical="top" wrapText="1"/>
      <protection/>
    </xf>
    <xf numFmtId="4" fontId="18" fillId="0" borderId="36" xfId="75" applyNumberFormat="1" applyFont="1" applyFill="1" applyBorder="1" applyAlignment="1">
      <alignment horizontal="center" vertical="top"/>
    </xf>
    <xf numFmtId="4" fontId="18" fillId="0" borderId="38" xfId="81" applyNumberFormat="1" applyFont="1" applyFill="1" applyBorder="1" applyAlignment="1">
      <alignment horizontal="right" vertical="top"/>
      <protection/>
    </xf>
    <xf numFmtId="4" fontId="18" fillId="0" borderId="35" xfId="81" applyNumberFormat="1" applyFont="1" applyFill="1" applyBorder="1" applyAlignment="1">
      <alignment horizontal="center" vertical="top"/>
      <protection/>
    </xf>
    <xf numFmtId="4" fontId="18" fillId="0" borderId="39" xfId="81" applyNumberFormat="1" applyFont="1" applyFill="1" applyBorder="1" applyAlignment="1">
      <alignment horizontal="center" vertical="top"/>
      <protection/>
    </xf>
    <xf numFmtId="0" fontId="15" fillId="0" borderId="42" xfId="81" applyFont="1" applyFill="1" applyBorder="1" applyAlignment="1">
      <alignment vertical="justify" wrapText="1"/>
      <protection/>
    </xf>
    <xf numFmtId="0" fontId="15" fillId="0" borderId="43" xfId="81" applyFont="1" applyFill="1" applyBorder="1" applyAlignment="1">
      <alignment vertical="justify" wrapText="1"/>
      <protection/>
    </xf>
    <xf numFmtId="0" fontId="9" fillId="0" borderId="37" xfId="81" applyFont="1" applyFill="1" applyBorder="1" applyAlignment="1">
      <alignment horizontal="center"/>
      <protection/>
    </xf>
    <xf numFmtId="0" fontId="9" fillId="0" borderId="32" xfId="81" applyFont="1" applyFill="1" applyBorder="1" applyAlignment="1">
      <alignment/>
      <protection/>
    </xf>
    <xf numFmtId="0" fontId="9" fillId="0" borderId="10" xfId="81" applyFont="1" applyFill="1" applyBorder="1" applyAlignment="1">
      <alignment horizontal="center"/>
      <protection/>
    </xf>
    <xf numFmtId="3" fontId="17" fillId="0" borderId="10" xfId="79" applyNumberFormat="1" applyFont="1" applyFill="1" applyBorder="1" applyAlignment="1">
      <alignment vertical="center"/>
    </xf>
    <xf numFmtId="4" fontId="9" fillId="0" borderId="10" xfId="81" applyNumberFormat="1" applyFont="1" applyFill="1" applyBorder="1" applyAlignment="1">
      <alignment horizontal="right" vertical="center"/>
      <protection/>
    </xf>
    <xf numFmtId="3" fontId="17" fillId="0" borderId="44" xfId="48" applyNumberFormat="1" applyFont="1" applyFill="1" applyBorder="1" applyAlignment="1">
      <alignment horizontal="right" vertical="center"/>
    </xf>
    <xf numFmtId="4" fontId="18" fillId="0" borderId="42" xfId="81" applyNumberFormat="1" applyFont="1" applyFill="1" applyBorder="1" applyAlignment="1">
      <alignment horizontal="right" vertical="top" wrapText="1"/>
      <protection/>
    </xf>
    <xf numFmtId="4" fontId="18" fillId="0" borderId="45" xfId="81" applyNumberFormat="1" applyFont="1" applyFill="1" applyBorder="1" applyAlignment="1">
      <alignment horizontal="right" vertical="top" wrapText="1"/>
      <protection/>
    </xf>
    <xf numFmtId="4" fontId="18" fillId="0" borderId="46" xfId="81" applyNumberFormat="1" applyFont="1" applyFill="1" applyBorder="1" applyAlignment="1">
      <alignment horizontal="center" vertical="top"/>
      <protection/>
    </xf>
    <xf numFmtId="4" fontId="18" fillId="0" borderId="47" xfId="81" applyNumberFormat="1" applyFont="1" applyFill="1" applyBorder="1" applyAlignment="1">
      <alignment horizontal="right" vertical="top" wrapText="1"/>
      <protection/>
    </xf>
    <xf numFmtId="4" fontId="18" fillId="0" borderId="43" xfId="75" applyNumberFormat="1" applyFont="1" applyFill="1" applyBorder="1" applyAlignment="1">
      <alignment horizontal="center" vertical="top"/>
    </xf>
    <xf numFmtId="4" fontId="18" fillId="0" borderId="47" xfId="81" applyNumberFormat="1" applyFont="1" applyFill="1" applyBorder="1" applyAlignment="1">
      <alignment horizontal="right" vertical="top"/>
      <protection/>
    </xf>
    <xf numFmtId="4" fontId="18" fillId="0" borderId="42" xfId="81" applyNumberFormat="1" applyFont="1" applyFill="1" applyBorder="1" applyAlignment="1">
      <alignment horizontal="center" vertical="center"/>
      <protection/>
    </xf>
    <xf numFmtId="4" fontId="18" fillId="0" borderId="41" xfId="81" applyNumberFormat="1" applyFont="1" applyFill="1" applyBorder="1" applyAlignment="1">
      <alignment horizontal="right" vertical="top"/>
      <protection/>
    </xf>
    <xf numFmtId="4" fontId="13" fillId="0" borderId="0" xfId="81" applyNumberFormat="1" applyFont="1">
      <alignment/>
      <protection/>
    </xf>
    <xf numFmtId="4" fontId="14" fillId="0" borderId="0" xfId="81" applyNumberFormat="1" applyFont="1" applyFill="1" applyBorder="1" applyAlignment="1">
      <alignment horizontal="center" vertical="top"/>
      <protection/>
    </xf>
    <xf numFmtId="0" fontId="16" fillId="0" borderId="32" xfId="81" applyFont="1" applyFill="1" applyBorder="1" applyAlignment="1">
      <alignment/>
      <protection/>
    </xf>
    <xf numFmtId="4" fontId="18" fillId="35" borderId="23" xfId="81" applyNumberFormat="1" applyFont="1" applyFill="1" applyBorder="1" applyAlignment="1">
      <alignment horizontal="right" vertical="top" wrapText="1"/>
      <protection/>
    </xf>
    <xf numFmtId="0" fontId="16" fillId="36" borderId="32" xfId="81" applyFont="1" applyFill="1" applyBorder="1" applyAlignment="1">
      <alignment horizontal="right"/>
      <protection/>
    </xf>
    <xf numFmtId="0" fontId="16" fillId="36" borderId="10" xfId="81" applyFont="1" applyFill="1" applyBorder="1">
      <alignment/>
      <protection/>
    </xf>
    <xf numFmtId="3" fontId="16" fillId="36" borderId="10" xfId="79" applyNumberFormat="1" applyFont="1" applyFill="1" applyBorder="1" applyAlignment="1">
      <alignment vertical="center"/>
    </xf>
    <xf numFmtId="4" fontId="16" fillId="36" borderId="10" xfId="81" applyNumberFormat="1" applyFont="1" applyFill="1" applyBorder="1" applyAlignment="1">
      <alignment horizontal="right" vertical="center"/>
      <protection/>
    </xf>
    <xf numFmtId="3" fontId="16" fillId="36" borderId="44" xfId="48" applyNumberFormat="1" applyFont="1" applyFill="1" applyBorder="1" applyAlignment="1">
      <alignment horizontal="right" vertical="center"/>
    </xf>
    <xf numFmtId="4" fontId="16" fillId="36" borderId="32" xfId="81" applyNumberFormat="1" applyFont="1" applyFill="1" applyBorder="1" applyAlignment="1">
      <alignment horizontal="right" vertical="center"/>
      <protection/>
    </xf>
    <xf numFmtId="3" fontId="16" fillId="36" borderId="33" xfId="48" applyNumberFormat="1" applyFont="1" applyFill="1" applyBorder="1" applyAlignment="1">
      <alignment horizontal="right" vertical="center"/>
    </xf>
    <xf numFmtId="3" fontId="16" fillId="36" borderId="45" xfId="48" applyNumberFormat="1" applyFont="1" applyFill="1" applyBorder="1" applyAlignment="1">
      <alignment horizontal="right" vertical="center"/>
    </xf>
    <xf numFmtId="4" fontId="16" fillId="36" borderId="45" xfId="81" applyNumberFormat="1" applyFont="1" applyFill="1" applyBorder="1" applyAlignment="1">
      <alignment horizontal="center" vertical="center"/>
      <protection/>
    </xf>
    <xf numFmtId="3" fontId="16" fillId="36" borderId="32" xfId="48" applyNumberFormat="1" applyFont="1" applyFill="1" applyBorder="1" applyAlignment="1">
      <alignment horizontal="right" vertical="center"/>
    </xf>
    <xf numFmtId="4" fontId="16" fillId="36" borderId="10" xfId="81" applyNumberFormat="1" applyFont="1" applyFill="1" applyBorder="1" applyAlignment="1">
      <alignment horizontal="center" vertical="center"/>
      <protection/>
    </xf>
    <xf numFmtId="4" fontId="16" fillId="36" borderId="32" xfId="81" applyNumberFormat="1" applyFont="1" applyFill="1" applyBorder="1" applyAlignment="1">
      <alignment horizontal="center" vertical="center"/>
      <protection/>
    </xf>
    <xf numFmtId="43" fontId="16" fillId="36" borderId="33" xfId="75" applyFont="1" applyFill="1" applyBorder="1" applyAlignment="1">
      <alignment horizontal="right" vertical="center"/>
    </xf>
    <xf numFmtId="0" fontId="16" fillId="0" borderId="32" xfId="81" applyFont="1" applyFill="1" applyBorder="1">
      <alignment/>
      <protection/>
    </xf>
    <xf numFmtId="0" fontId="16" fillId="0" borderId="10" xfId="81" applyFont="1" applyFill="1" applyBorder="1">
      <alignment/>
      <protection/>
    </xf>
    <xf numFmtId="3" fontId="16" fillId="0" borderId="10" xfId="79" applyNumberFormat="1" applyFont="1" applyFill="1" applyBorder="1" applyAlignment="1">
      <alignment vertical="center"/>
    </xf>
    <xf numFmtId="4" fontId="16" fillId="0" borderId="10" xfId="81" applyNumberFormat="1" applyFont="1" applyFill="1" applyBorder="1" applyAlignment="1">
      <alignment horizontal="right" vertical="center"/>
      <protection/>
    </xf>
    <xf numFmtId="3" fontId="16" fillId="0" borderId="44" xfId="48" applyNumberFormat="1" applyFont="1" applyFill="1" applyBorder="1" applyAlignment="1">
      <alignment horizontal="right" vertical="center"/>
    </xf>
    <xf numFmtId="4" fontId="18" fillId="0" borderId="42" xfId="81" applyNumberFormat="1" applyFont="1" applyFill="1" applyBorder="1" applyAlignment="1">
      <alignment horizontal="center" vertical="top"/>
      <protection/>
    </xf>
    <xf numFmtId="0" fontId="9" fillId="0" borderId="32" xfId="81" applyFont="1" applyFill="1" applyBorder="1">
      <alignment/>
      <protection/>
    </xf>
    <xf numFmtId="3" fontId="16" fillId="36" borderId="48" xfId="48" applyNumberFormat="1" applyFont="1" applyFill="1" applyBorder="1" applyAlignment="1">
      <alignment horizontal="right" vertical="center"/>
    </xf>
    <xf numFmtId="16" fontId="9" fillId="0" borderId="37" xfId="81" applyNumberFormat="1" applyFont="1" applyFill="1" applyBorder="1" applyAlignment="1">
      <alignment horizontal="center"/>
      <protection/>
    </xf>
    <xf numFmtId="3" fontId="16" fillId="36" borderId="44" xfId="79" applyNumberFormat="1" applyFont="1" applyFill="1" applyBorder="1" applyAlignment="1">
      <alignment horizontal="right" vertical="center"/>
    </xf>
    <xf numFmtId="3" fontId="16" fillId="36" borderId="33" xfId="79" applyNumberFormat="1" applyFont="1" applyFill="1" applyBorder="1" applyAlignment="1">
      <alignment horizontal="right" vertical="center"/>
    </xf>
    <xf numFmtId="3" fontId="16" fillId="36" borderId="45" xfId="79" applyNumberFormat="1" applyFont="1" applyFill="1" applyBorder="1" applyAlignment="1">
      <alignment horizontal="right" vertical="center"/>
    </xf>
    <xf numFmtId="3" fontId="16" fillId="36" borderId="32" xfId="79" applyNumberFormat="1" applyFont="1" applyFill="1" applyBorder="1" applyAlignment="1">
      <alignment horizontal="right" vertical="center"/>
    </xf>
    <xf numFmtId="0" fontId="9" fillId="0" borderId="32" xfId="81" applyFont="1" applyFill="1" applyBorder="1" applyAlignment="1">
      <alignment wrapText="1"/>
      <protection/>
    </xf>
    <xf numFmtId="0" fontId="8" fillId="0" borderId="32" xfId="81" applyFont="1" applyFill="1" applyBorder="1">
      <alignment/>
      <protection/>
    </xf>
    <xf numFmtId="4" fontId="18" fillId="0" borderId="41" xfId="81" applyNumberFormat="1" applyFont="1" applyFill="1" applyBorder="1" applyAlignment="1">
      <alignment horizontal="center" vertical="top"/>
      <protection/>
    </xf>
    <xf numFmtId="0" fontId="9" fillId="37" borderId="37" xfId="81" applyFont="1" applyFill="1" applyBorder="1" applyAlignment="1">
      <alignment horizontal="center"/>
      <protection/>
    </xf>
    <xf numFmtId="0" fontId="9" fillId="37" borderId="32" xfId="81" applyFont="1" applyFill="1" applyBorder="1">
      <alignment/>
      <protection/>
    </xf>
    <xf numFmtId="0" fontId="9" fillId="37" borderId="10" xfId="81" applyFont="1" applyFill="1" applyBorder="1" applyAlignment="1">
      <alignment horizontal="center"/>
      <protection/>
    </xf>
    <xf numFmtId="3" fontId="17" fillId="37" borderId="10" xfId="79" applyNumberFormat="1" applyFont="1" applyFill="1" applyBorder="1" applyAlignment="1">
      <alignment vertical="center"/>
    </xf>
    <xf numFmtId="4" fontId="9" fillId="37" borderId="10" xfId="81" applyNumberFormat="1" applyFont="1" applyFill="1" applyBorder="1" applyAlignment="1">
      <alignment horizontal="right" vertical="center"/>
      <protection/>
    </xf>
    <xf numFmtId="3" fontId="17" fillId="37" borderId="44" xfId="48" applyNumberFormat="1" applyFont="1" applyFill="1" applyBorder="1" applyAlignment="1">
      <alignment horizontal="right" vertical="center"/>
    </xf>
    <xf numFmtId="0" fontId="17" fillId="0" borderId="32" xfId="81" applyFont="1" applyFill="1" applyBorder="1">
      <alignment/>
      <protection/>
    </xf>
    <xf numFmtId="0" fontId="16" fillId="0" borderId="32" xfId="81" applyFont="1" applyFill="1" applyBorder="1" applyAlignment="1">
      <alignment horizontal="right"/>
      <protection/>
    </xf>
    <xf numFmtId="0" fontId="16" fillId="0" borderId="32" xfId="81" applyFont="1" applyFill="1" applyBorder="1" applyAlignment="1">
      <alignment wrapText="1"/>
      <protection/>
    </xf>
    <xf numFmtId="4" fontId="18" fillId="0" borderId="45" xfId="81" applyNumberFormat="1" applyFont="1" applyFill="1" applyBorder="1" applyAlignment="1">
      <alignment horizontal="right" vertical="center" wrapText="1"/>
      <protection/>
    </xf>
    <xf numFmtId="0" fontId="14" fillId="36" borderId="32" xfId="81" applyFont="1" applyFill="1" applyBorder="1" applyAlignment="1">
      <alignment horizontal="right" vertical="top"/>
      <protection/>
    </xf>
    <xf numFmtId="0" fontId="14" fillId="0" borderId="20" xfId="81" applyFont="1" applyFill="1" applyBorder="1" applyAlignment="1">
      <alignment horizontal="right" vertical="top"/>
      <protection/>
    </xf>
    <xf numFmtId="0" fontId="15" fillId="0" borderId="42" xfId="81" applyFont="1" applyFill="1" applyBorder="1" applyAlignment="1">
      <alignment vertical="center" wrapText="1"/>
      <protection/>
    </xf>
    <xf numFmtId="0" fontId="15" fillId="0" borderId="43" xfId="81" applyFont="1" applyFill="1" applyBorder="1" applyAlignment="1">
      <alignment vertical="center" wrapText="1"/>
      <protection/>
    </xf>
    <xf numFmtId="0" fontId="9" fillId="0" borderId="37" xfId="81" applyFont="1" applyFill="1" applyBorder="1" applyAlignment="1">
      <alignment horizontal="center" vertical="center"/>
      <protection/>
    </xf>
    <xf numFmtId="0" fontId="9" fillId="0" borderId="32" xfId="81" applyFont="1" applyFill="1" applyBorder="1" applyAlignment="1">
      <alignment vertical="center"/>
      <protection/>
    </xf>
    <xf numFmtId="0" fontId="9" fillId="0" borderId="10" xfId="81" applyFont="1" applyFill="1" applyBorder="1" applyAlignment="1">
      <alignment horizontal="center" vertical="center"/>
      <protection/>
    </xf>
    <xf numFmtId="4" fontId="18" fillId="0" borderId="42" xfId="81" applyNumberFormat="1" applyFont="1" applyFill="1" applyBorder="1" applyAlignment="1">
      <alignment horizontal="right" vertical="center" wrapText="1"/>
      <protection/>
    </xf>
    <xf numFmtId="4" fontId="18" fillId="0" borderId="41" xfId="81" applyNumberFormat="1" applyFont="1" applyFill="1" applyBorder="1" applyAlignment="1">
      <alignment horizontal="right" vertical="center" wrapText="1"/>
      <protection/>
    </xf>
    <xf numFmtId="4" fontId="18" fillId="0" borderId="47" xfId="81" applyNumberFormat="1" applyFont="1" applyFill="1" applyBorder="1" applyAlignment="1">
      <alignment horizontal="right" vertical="center" wrapText="1"/>
      <protection/>
    </xf>
    <xf numFmtId="4" fontId="18" fillId="0" borderId="43" xfId="75" applyNumberFormat="1" applyFont="1" applyFill="1" applyBorder="1" applyAlignment="1">
      <alignment horizontal="center" vertical="center"/>
    </xf>
    <xf numFmtId="4" fontId="18" fillId="0" borderId="47" xfId="81" applyNumberFormat="1" applyFont="1" applyFill="1" applyBorder="1" applyAlignment="1">
      <alignment horizontal="right" vertical="center"/>
      <protection/>
    </xf>
    <xf numFmtId="4" fontId="18" fillId="0" borderId="41" xfId="81" applyNumberFormat="1" applyFont="1" applyFill="1" applyBorder="1" applyAlignment="1">
      <alignment horizontal="right" vertical="center"/>
      <protection/>
    </xf>
    <xf numFmtId="0" fontId="14" fillId="0" borderId="0" xfId="81" applyFont="1" applyFill="1" applyBorder="1" applyAlignment="1">
      <alignment horizontal="center" vertical="center"/>
      <protection/>
    </xf>
    <xf numFmtId="0" fontId="14" fillId="0" borderId="32" xfId="81" applyFont="1" applyFill="1" applyBorder="1" applyAlignment="1">
      <alignment horizontal="right" vertical="top"/>
      <protection/>
    </xf>
    <xf numFmtId="3" fontId="16" fillId="36" borderId="44" xfId="84" applyNumberFormat="1" applyFont="1" applyFill="1" applyBorder="1" applyAlignment="1">
      <alignment horizontal="right" vertical="center"/>
    </xf>
    <xf numFmtId="4" fontId="18" fillId="36" borderId="42" xfId="81" applyNumberFormat="1" applyFont="1" applyFill="1" applyBorder="1" applyAlignment="1">
      <alignment horizontal="right" vertical="top" wrapText="1"/>
      <protection/>
    </xf>
    <xf numFmtId="3" fontId="16" fillId="36" borderId="33" xfId="84" applyNumberFormat="1" applyFont="1" applyFill="1" applyBorder="1" applyAlignment="1">
      <alignment horizontal="right" vertical="center"/>
    </xf>
    <xf numFmtId="3" fontId="16" fillId="36" borderId="45" xfId="84" applyNumberFormat="1" applyFont="1" applyFill="1" applyBorder="1" applyAlignment="1">
      <alignment horizontal="right" vertical="center"/>
    </xf>
    <xf numFmtId="3" fontId="16" fillId="36" borderId="32" xfId="84" applyNumberFormat="1" applyFont="1" applyFill="1" applyBorder="1" applyAlignment="1">
      <alignment horizontal="right" vertical="center"/>
    </xf>
    <xf numFmtId="0" fontId="14" fillId="36" borderId="10" xfId="81" applyFont="1" applyFill="1" applyBorder="1" applyAlignment="1">
      <alignment horizontal="right" vertical="top"/>
      <protection/>
    </xf>
    <xf numFmtId="0" fontId="19" fillId="0" borderId="32" xfId="81" applyFont="1" applyFill="1" applyBorder="1" applyAlignment="1">
      <alignment horizontal="right"/>
      <protection/>
    </xf>
    <xf numFmtId="4" fontId="18" fillId="0" borderId="32" xfId="81" applyNumberFormat="1" applyFont="1" applyFill="1" applyBorder="1" applyAlignment="1">
      <alignment horizontal="right" vertical="center" wrapText="1"/>
      <protection/>
    </xf>
    <xf numFmtId="0" fontId="9" fillId="0" borderId="32" xfId="81" applyFont="1" applyFill="1" applyBorder="1" applyAlignment="1">
      <alignment vertical="center" wrapText="1"/>
      <protection/>
    </xf>
    <xf numFmtId="4" fontId="18" fillId="0" borderId="23" xfId="81" applyNumberFormat="1" applyFont="1" applyFill="1" applyBorder="1" applyAlignment="1">
      <alignment horizontal="right" vertical="center" wrapText="1"/>
      <protection/>
    </xf>
    <xf numFmtId="4" fontId="18" fillId="0" borderId="46" xfId="81" applyNumberFormat="1" applyFont="1" applyFill="1" applyBorder="1" applyAlignment="1">
      <alignment horizontal="center" vertical="center"/>
      <protection/>
    </xf>
    <xf numFmtId="4" fontId="18" fillId="0" borderId="33" xfId="81" applyNumberFormat="1" applyFont="1" applyFill="1" applyBorder="1" applyAlignment="1">
      <alignment horizontal="right" vertical="center" wrapText="1"/>
      <protection/>
    </xf>
    <xf numFmtId="4" fontId="14" fillId="0" borderId="0" xfId="81" applyNumberFormat="1" applyFont="1" applyFill="1" applyBorder="1" applyAlignment="1">
      <alignment horizontal="center" vertical="center"/>
      <protection/>
    </xf>
    <xf numFmtId="3" fontId="16" fillId="36" borderId="44" xfId="79" applyNumberFormat="1" applyFont="1" applyFill="1" applyBorder="1" applyAlignment="1">
      <alignment vertical="center"/>
    </xf>
    <xf numFmtId="3" fontId="14" fillId="0" borderId="44" xfId="81" applyNumberFormat="1" applyFont="1" applyFill="1" applyBorder="1" applyAlignment="1">
      <alignment horizontal="center" vertical="center"/>
      <protection/>
    </xf>
    <xf numFmtId="3" fontId="16" fillId="36" borderId="44" xfId="48" applyNumberFormat="1" applyFont="1" applyFill="1" applyBorder="1" applyAlignment="1">
      <alignment vertical="center"/>
    </xf>
    <xf numFmtId="3" fontId="16" fillId="0" borderId="44" xfId="48" applyNumberFormat="1" applyFont="1" applyFill="1" applyBorder="1" applyAlignment="1">
      <alignment vertical="center"/>
    </xf>
    <xf numFmtId="3" fontId="16" fillId="36" borderId="33" xfId="48" applyNumberFormat="1" applyFont="1" applyFill="1" applyBorder="1" applyAlignment="1">
      <alignment vertical="center"/>
    </xf>
    <xf numFmtId="3" fontId="16" fillId="36" borderId="45" xfId="48" applyNumberFormat="1" applyFont="1" applyFill="1" applyBorder="1" applyAlignment="1">
      <alignment vertical="center"/>
    </xf>
    <xf numFmtId="3" fontId="16" fillId="36" borderId="48" xfId="48" applyNumberFormat="1" applyFont="1" applyFill="1" applyBorder="1" applyAlignment="1">
      <alignment vertical="center"/>
    </xf>
    <xf numFmtId="3" fontId="16" fillId="36" borderId="32" xfId="48" applyNumberFormat="1" applyFont="1" applyFill="1" applyBorder="1" applyAlignment="1">
      <alignment vertical="center"/>
    </xf>
    <xf numFmtId="0" fontId="15" fillId="0" borderId="49" xfId="81" applyFont="1" applyFill="1" applyBorder="1" applyAlignment="1">
      <alignment vertical="justify" wrapText="1"/>
      <protection/>
    </xf>
    <xf numFmtId="0" fontId="15" fillId="0" borderId="50" xfId="81" applyFont="1" applyFill="1" applyBorder="1" applyAlignment="1">
      <alignment vertical="justify" wrapText="1"/>
      <protection/>
    </xf>
    <xf numFmtId="0" fontId="16" fillId="0" borderId="51" xfId="81" applyFont="1" applyFill="1" applyBorder="1" applyAlignment="1">
      <alignment horizontal="center"/>
      <protection/>
    </xf>
    <xf numFmtId="0" fontId="16" fillId="36" borderId="52" xfId="81" applyFont="1" applyFill="1" applyBorder="1" applyAlignment="1">
      <alignment horizontal="right"/>
      <protection/>
    </xf>
    <xf numFmtId="0" fontId="16" fillId="36" borderId="34" xfId="81" applyFont="1" applyFill="1" applyBorder="1">
      <alignment/>
      <protection/>
    </xf>
    <xf numFmtId="3" fontId="16" fillId="36" borderId="34" xfId="79" applyNumberFormat="1" applyFont="1" applyFill="1" applyBorder="1" applyAlignment="1">
      <alignment vertical="center"/>
    </xf>
    <xf numFmtId="4" fontId="16" fillId="36" borderId="34" xfId="81" applyNumberFormat="1" applyFont="1" applyFill="1" applyBorder="1" applyAlignment="1">
      <alignment horizontal="right" vertical="center"/>
      <protection/>
    </xf>
    <xf numFmtId="3" fontId="16" fillId="36" borderId="31" xfId="48" applyNumberFormat="1" applyFont="1" applyFill="1" applyBorder="1" applyAlignment="1">
      <alignment vertical="center"/>
    </xf>
    <xf numFmtId="4" fontId="16" fillId="36" borderId="52" xfId="81" applyNumberFormat="1" applyFont="1" applyFill="1" applyBorder="1" applyAlignment="1">
      <alignment horizontal="right" vertical="center"/>
      <protection/>
    </xf>
    <xf numFmtId="3" fontId="16" fillId="36" borderId="28" xfId="48" applyNumberFormat="1" applyFont="1" applyFill="1" applyBorder="1" applyAlignment="1">
      <alignment vertical="center"/>
    </xf>
    <xf numFmtId="3" fontId="16" fillId="36" borderId="53" xfId="48" applyNumberFormat="1" applyFont="1" applyFill="1" applyBorder="1" applyAlignment="1">
      <alignment vertical="center"/>
    </xf>
    <xf numFmtId="3" fontId="16" fillId="36" borderId="52" xfId="48" applyNumberFormat="1" applyFont="1" applyFill="1" applyBorder="1" applyAlignment="1">
      <alignment vertical="center"/>
    </xf>
    <xf numFmtId="3" fontId="16" fillId="36" borderId="54" xfId="48" applyNumberFormat="1" applyFont="1" applyFill="1" applyBorder="1" applyAlignment="1">
      <alignment vertical="center"/>
    </xf>
    <xf numFmtId="4" fontId="18" fillId="36" borderId="53" xfId="81" applyNumberFormat="1" applyFont="1" applyFill="1" applyBorder="1" applyAlignment="1">
      <alignment horizontal="center" vertical="top"/>
      <protection/>
    </xf>
    <xf numFmtId="4" fontId="18" fillId="36" borderId="34" xfId="75" applyNumberFormat="1" applyFont="1" applyFill="1" applyBorder="1" applyAlignment="1">
      <alignment horizontal="center" vertical="top"/>
    </xf>
    <xf numFmtId="3" fontId="16" fillId="36" borderId="28" xfId="48" applyNumberFormat="1" applyFont="1" applyFill="1" applyBorder="1" applyAlignment="1">
      <alignment horizontal="right" vertical="center"/>
    </xf>
    <xf numFmtId="4" fontId="18" fillId="36" borderId="52" xfId="81" applyNumberFormat="1" applyFont="1" applyFill="1" applyBorder="1" applyAlignment="1">
      <alignment horizontal="center" vertical="top"/>
      <protection/>
    </xf>
    <xf numFmtId="43" fontId="16" fillId="36" borderId="28" xfId="75" applyFont="1" applyFill="1" applyBorder="1" applyAlignment="1">
      <alignment horizontal="right" vertical="center"/>
    </xf>
    <xf numFmtId="0" fontId="20" fillId="0" borderId="20" xfId="81" applyFont="1" applyFill="1" applyBorder="1" applyAlignment="1">
      <alignment/>
      <protection/>
    </xf>
    <xf numFmtId="0" fontId="20" fillId="0" borderId="0" xfId="81" applyFont="1" applyFill="1" applyBorder="1" applyAlignment="1">
      <alignment/>
      <protection/>
    </xf>
    <xf numFmtId="0" fontId="21" fillId="0" borderId="0" xfId="81" applyFont="1" applyFill="1" applyBorder="1" applyAlignment="1">
      <alignment/>
      <protection/>
    </xf>
    <xf numFmtId="0" fontId="21" fillId="36" borderId="15" xfId="81" applyFont="1" applyFill="1" applyBorder="1" applyAlignment="1">
      <alignment horizontal="center"/>
      <protection/>
    </xf>
    <xf numFmtId="4" fontId="21" fillId="36" borderId="16" xfId="81" applyNumberFormat="1" applyFont="1" applyFill="1" applyBorder="1" applyAlignment="1">
      <alignment horizontal="right"/>
      <protection/>
    </xf>
    <xf numFmtId="3" fontId="16" fillId="36" borderId="38" xfId="48" applyNumberFormat="1" applyFont="1" applyFill="1" applyBorder="1" applyAlignment="1">
      <alignment horizontal="right" vertical="center"/>
    </xf>
    <xf numFmtId="4" fontId="16" fillId="36" borderId="42" xfId="81" applyNumberFormat="1" applyFont="1" applyFill="1" applyBorder="1" applyAlignment="1">
      <alignment horizontal="right" vertical="center"/>
      <protection/>
    </xf>
    <xf numFmtId="3" fontId="16" fillId="36" borderId="39" xfId="48" applyNumberFormat="1" applyFont="1" applyFill="1" applyBorder="1" applyAlignment="1">
      <alignment horizontal="right" vertical="center"/>
    </xf>
    <xf numFmtId="3" fontId="16" fillId="36" borderId="55" xfId="48" applyNumberFormat="1" applyFont="1" applyFill="1" applyBorder="1" applyAlignment="1">
      <alignment horizontal="right" vertical="center"/>
    </xf>
    <xf numFmtId="3" fontId="16" fillId="36" borderId="56" xfId="48" applyNumberFormat="1" applyFont="1" applyFill="1" applyBorder="1" applyAlignment="1">
      <alignment horizontal="right" vertical="center"/>
    </xf>
    <xf numFmtId="3" fontId="16" fillId="36" borderId="23" xfId="48" applyNumberFormat="1" applyFont="1" applyFill="1" applyBorder="1" applyAlignment="1">
      <alignment horizontal="right" vertical="center"/>
    </xf>
    <xf numFmtId="4" fontId="16" fillId="36" borderId="46" xfId="81" applyNumberFormat="1" applyFont="1" applyFill="1" applyBorder="1" applyAlignment="1">
      <alignment horizontal="center" vertical="center"/>
      <protection/>
    </xf>
    <xf numFmtId="3" fontId="16" fillId="36" borderId="57" xfId="48" applyNumberFormat="1" applyFont="1" applyFill="1" applyBorder="1" applyAlignment="1">
      <alignment horizontal="right" vertical="center"/>
    </xf>
    <xf numFmtId="3" fontId="16" fillId="36" borderId="42" xfId="48" applyNumberFormat="1" applyFont="1" applyFill="1" applyBorder="1" applyAlignment="1">
      <alignment horizontal="right" vertical="center"/>
    </xf>
    <xf numFmtId="4" fontId="16" fillId="36" borderId="43" xfId="81" applyNumberFormat="1" applyFont="1" applyFill="1" applyBorder="1" applyAlignment="1">
      <alignment horizontal="center" vertical="center"/>
      <protection/>
    </xf>
    <xf numFmtId="4" fontId="16" fillId="36" borderId="42" xfId="81" applyNumberFormat="1" applyFont="1" applyFill="1" applyBorder="1" applyAlignment="1">
      <alignment horizontal="center" vertical="center"/>
      <protection/>
    </xf>
    <xf numFmtId="43" fontId="16" fillId="36" borderId="41" xfId="75" applyFont="1" applyFill="1" applyBorder="1" applyAlignment="1">
      <alignment horizontal="right" vertical="center"/>
    </xf>
    <xf numFmtId="0" fontId="21" fillId="0" borderId="0" xfId="81" applyFont="1" applyBorder="1">
      <alignment/>
      <protection/>
    </xf>
    <xf numFmtId="0" fontId="21" fillId="0" borderId="35" xfId="81" applyFont="1" applyFill="1" applyBorder="1" applyAlignment="1">
      <alignment horizontal="left" wrapText="1"/>
      <protection/>
    </xf>
    <xf numFmtId="0" fontId="21" fillId="0" borderId="38" xfId="81" applyFont="1" applyFill="1" applyBorder="1" applyAlignment="1">
      <alignment horizontal="center"/>
      <protection/>
    </xf>
    <xf numFmtId="0" fontId="21" fillId="0" borderId="35" xfId="81" applyFont="1" applyFill="1" applyBorder="1" applyAlignment="1">
      <alignment horizontal="center"/>
      <protection/>
    </xf>
    <xf numFmtId="4" fontId="21" fillId="0" borderId="36" xfId="81" applyNumberFormat="1" applyFont="1" applyFill="1" applyBorder="1" applyAlignment="1">
      <alignment horizontal="right"/>
      <protection/>
    </xf>
    <xf numFmtId="0" fontId="21" fillId="0" borderId="38" xfId="81" applyFont="1" applyFill="1" applyBorder="1" applyAlignment="1">
      <alignment horizontal="right"/>
      <protection/>
    </xf>
    <xf numFmtId="4" fontId="21" fillId="0" borderId="35" xfId="81" applyNumberFormat="1" applyFont="1" applyFill="1" applyBorder="1" applyAlignment="1">
      <alignment horizontal="right"/>
      <protection/>
    </xf>
    <xf numFmtId="4" fontId="21" fillId="0" borderId="39" xfId="81" applyNumberFormat="1" applyFont="1" applyFill="1" applyBorder="1" applyAlignment="1">
      <alignment horizontal="right"/>
      <protection/>
    </xf>
    <xf numFmtId="4" fontId="21" fillId="0" borderId="46" xfId="81" applyNumberFormat="1" applyFont="1" applyFill="1" applyBorder="1" applyAlignment="1">
      <alignment horizontal="right"/>
      <protection/>
    </xf>
    <xf numFmtId="4" fontId="21" fillId="0" borderId="41" xfId="81" applyNumberFormat="1" applyFont="1" applyFill="1" applyBorder="1" applyAlignment="1">
      <alignment horizontal="right"/>
      <protection/>
    </xf>
    <xf numFmtId="4" fontId="21" fillId="0" borderId="58" xfId="81" applyNumberFormat="1" applyFont="1" applyFill="1" applyBorder="1" applyAlignment="1">
      <alignment horizontal="right"/>
      <protection/>
    </xf>
    <xf numFmtId="4" fontId="21" fillId="0" borderId="40" xfId="81" applyNumberFormat="1" applyFont="1" applyFill="1" applyBorder="1" applyAlignment="1">
      <alignment horizontal="right"/>
      <protection/>
    </xf>
    <xf numFmtId="0" fontId="21" fillId="0" borderId="32" xfId="81" applyFont="1" applyFill="1" applyBorder="1" applyAlignment="1">
      <alignment horizontal="right"/>
      <protection/>
    </xf>
    <xf numFmtId="0" fontId="21" fillId="0" borderId="33" xfId="81" applyFont="1" applyFill="1" applyBorder="1" applyAlignment="1">
      <alignment horizontal="right"/>
      <protection/>
    </xf>
    <xf numFmtId="4" fontId="21" fillId="0" borderId="38" xfId="81" applyNumberFormat="1" applyFont="1" applyFill="1" applyBorder="1" applyAlignment="1">
      <alignment horizontal="right"/>
      <protection/>
    </xf>
    <xf numFmtId="0" fontId="21" fillId="0" borderId="32" xfId="81" applyFont="1" applyFill="1" applyBorder="1" applyAlignment="1">
      <alignment horizontal="left" wrapText="1"/>
      <protection/>
    </xf>
    <xf numFmtId="0" fontId="21" fillId="0" borderId="44" xfId="81" applyFont="1" applyFill="1" applyBorder="1" applyAlignment="1">
      <alignment horizontal="center"/>
      <protection/>
    </xf>
    <xf numFmtId="0" fontId="21" fillId="0" borderId="32" xfId="81" applyFont="1" applyFill="1" applyBorder="1" applyAlignment="1">
      <alignment horizontal="center"/>
      <protection/>
    </xf>
    <xf numFmtId="4" fontId="21" fillId="0" borderId="10" xfId="81" applyNumberFormat="1" applyFont="1" applyFill="1" applyBorder="1" applyAlignment="1">
      <alignment horizontal="right"/>
      <protection/>
    </xf>
    <xf numFmtId="0" fontId="21" fillId="0" borderId="44" xfId="81" applyFont="1" applyFill="1" applyBorder="1" applyAlignment="1">
      <alignment horizontal="right"/>
      <protection/>
    </xf>
    <xf numFmtId="4" fontId="21" fillId="0" borderId="32" xfId="81" applyNumberFormat="1" applyFont="1" applyFill="1" applyBorder="1" applyAlignment="1">
      <alignment horizontal="right"/>
      <protection/>
    </xf>
    <xf numFmtId="4" fontId="21" fillId="0" borderId="33" xfId="81" applyNumberFormat="1" applyFont="1" applyFill="1" applyBorder="1" applyAlignment="1">
      <alignment horizontal="right"/>
      <protection/>
    </xf>
    <xf numFmtId="4" fontId="21" fillId="0" borderId="45" xfId="81" applyNumberFormat="1" applyFont="1" applyFill="1" applyBorder="1" applyAlignment="1">
      <alignment horizontal="right"/>
      <protection/>
    </xf>
    <xf numFmtId="4" fontId="21" fillId="0" borderId="48" xfId="81" applyNumberFormat="1" applyFont="1" applyFill="1" applyBorder="1" applyAlignment="1">
      <alignment horizontal="right"/>
      <protection/>
    </xf>
    <xf numFmtId="4" fontId="21" fillId="0" borderId="44" xfId="81" applyNumberFormat="1" applyFont="1" applyFill="1" applyBorder="1" applyAlignment="1">
      <alignment horizontal="right"/>
      <protection/>
    </xf>
    <xf numFmtId="0" fontId="21" fillId="0" borderId="52" xfId="81" applyFont="1" applyFill="1" applyBorder="1" applyAlignment="1">
      <alignment horizontal="left" wrapText="1"/>
      <protection/>
    </xf>
    <xf numFmtId="0" fontId="21" fillId="0" borderId="31" xfId="81" applyFont="1" applyFill="1" applyBorder="1" applyAlignment="1">
      <alignment horizontal="center"/>
      <protection/>
    </xf>
    <xf numFmtId="0" fontId="21" fillId="0" borderId="52" xfId="81" applyFont="1" applyFill="1" applyBorder="1" applyAlignment="1">
      <alignment horizontal="center"/>
      <protection/>
    </xf>
    <xf numFmtId="4" fontId="21" fillId="0" borderId="34" xfId="81" applyNumberFormat="1" applyFont="1" applyFill="1" applyBorder="1" applyAlignment="1">
      <alignment horizontal="right"/>
      <protection/>
    </xf>
    <xf numFmtId="4" fontId="21" fillId="0" borderId="52" xfId="81" applyNumberFormat="1" applyFont="1" applyFill="1" applyBorder="1" applyAlignment="1">
      <alignment horizontal="right"/>
      <protection/>
    </xf>
    <xf numFmtId="3" fontId="16" fillId="0" borderId="33" xfId="48" applyNumberFormat="1" applyFont="1" applyFill="1" applyBorder="1" applyAlignment="1">
      <alignment horizontal="right" vertical="center"/>
    </xf>
    <xf numFmtId="3" fontId="16" fillId="0" borderId="53" xfId="48" applyNumberFormat="1" applyFont="1" applyFill="1" applyBorder="1" applyAlignment="1">
      <alignment horizontal="right" vertical="center"/>
    </xf>
    <xf numFmtId="3" fontId="16" fillId="0" borderId="28" xfId="48" applyNumberFormat="1" applyFont="1" applyFill="1" applyBorder="1" applyAlignment="1">
      <alignment horizontal="right" vertical="center"/>
    </xf>
    <xf numFmtId="3" fontId="16" fillId="0" borderId="59" xfId="48" applyNumberFormat="1" applyFont="1" applyFill="1" applyBorder="1" applyAlignment="1">
      <alignment horizontal="right" vertical="center"/>
    </xf>
    <xf numFmtId="4" fontId="21" fillId="0" borderId="53" xfId="81" applyNumberFormat="1" applyFont="1" applyFill="1" applyBorder="1" applyAlignment="1">
      <alignment horizontal="right"/>
      <protection/>
    </xf>
    <xf numFmtId="3" fontId="16" fillId="0" borderId="32" xfId="48" applyNumberFormat="1" applyFont="1" applyFill="1" applyBorder="1" applyAlignment="1">
      <alignment horizontal="right" vertical="center"/>
    </xf>
    <xf numFmtId="0" fontId="20" fillId="0" borderId="20" xfId="81" applyFont="1" applyBorder="1" applyAlignment="1">
      <alignment/>
      <protection/>
    </xf>
    <xf numFmtId="0" fontId="20" fillId="0" borderId="0" xfId="81" applyFont="1" applyBorder="1" applyAlignment="1">
      <alignment/>
      <protection/>
    </xf>
    <xf numFmtId="0" fontId="21" fillId="0" borderId="0" xfId="81" applyFont="1" applyBorder="1" applyAlignment="1">
      <alignment/>
      <protection/>
    </xf>
    <xf numFmtId="0" fontId="21" fillId="36" borderId="15" xfId="81" applyFont="1" applyFill="1" applyBorder="1">
      <alignment/>
      <protection/>
    </xf>
    <xf numFmtId="3" fontId="21" fillId="36" borderId="57" xfId="81" applyNumberFormat="1" applyFont="1" applyFill="1" applyBorder="1">
      <alignment/>
      <protection/>
    </xf>
    <xf numFmtId="4" fontId="21" fillId="36" borderId="15" xfId="81" applyNumberFormat="1" applyFont="1" applyFill="1" applyBorder="1" applyAlignment="1">
      <alignment horizontal="right"/>
      <protection/>
    </xf>
    <xf numFmtId="3" fontId="21" fillId="36" borderId="56" xfId="81" applyNumberFormat="1" applyFont="1" applyFill="1" applyBorder="1" applyAlignment="1">
      <alignment horizontal="right"/>
      <protection/>
    </xf>
    <xf numFmtId="3" fontId="21" fillId="36" borderId="60" xfId="81" applyNumberFormat="1" applyFont="1" applyFill="1" applyBorder="1" applyAlignment="1">
      <alignment horizontal="right"/>
      <protection/>
    </xf>
    <xf numFmtId="3" fontId="21" fillId="36" borderId="61" xfId="81" applyNumberFormat="1" applyFont="1" applyFill="1" applyBorder="1" applyAlignment="1">
      <alignment horizontal="right"/>
      <protection/>
    </xf>
    <xf numFmtId="3" fontId="16" fillId="36" borderId="18" xfId="48" applyNumberFormat="1" applyFont="1" applyFill="1" applyBorder="1" applyAlignment="1">
      <alignment horizontal="right" vertical="center"/>
    </xf>
    <xf numFmtId="4" fontId="21" fillId="36" borderId="55" xfId="81" applyNumberFormat="1" applyFont="1" applyFill="1" applyBorder="1">
      <alignment/>
      <protection/>
    </xf>
    <xf numFmtId="3" fontId="21" fillId="36" borderId="57" xfId="81" applyNumberFormat="1" applyFont="1" applyFill="1" applyBorder="1" applyAlignment="1">
      <alignment horizontal="right"/>
      <protection/>
    </xf>
    <xf numFmtId="3" fontId="21" fillId="36" borderId="52" xfId="81" applyNumberFormat="1" applyFont="1" applyFill="1" applyBorder="1" applyAlignment="1">
      <alignment horizontal="right"/>
      <protection/>
    </xf>
    <xf numFmtId="4" fontId="21" fillId="36" borderId="16" xfId="75" applyNumberFormat="1" applyFont="1" applyFill="1" applyBorder="1" applyAlignment="1">
      <alignment/>
    </xf>
    <xf numFmtId="4" fontId="21" fillId="36" borderId="15" xfId="81" applyNumberFormat="1" applyFont="1" applyFill="1" applyBorder="1">
      <alignment/>
      <protection/>
    </xf>
    <xf numFmtId="43" fontId="16" fillId="36" borderId="56" xfId="75" applyFont="1" applyFill="1" applyBorder="1" applyAlignment="1">
      <alignment horizontal="right" vertical="center"/>
    </xf>
    <xf numFmtId="0" fontId="22" fillId="0" borderId="0" xfId="81" applyFont="1">
      <alignment/>
      <protection/>
    </xf>
    <xf numFmtId="0" fontId="21" fillId="0" borderId="0" xfId="81" applyFont="1" applyBorder="1" applyAlignment="1">
      <alignment wrapText="1"/>
      <protection/>
    </xf>
    <xf numFmtId="4" fontId="21" fillId="0" borderId="0" xfId="81" applyNumberFormat="1" applyFont="1" applyBorder="1" applyAlignment="1">
      <alignment horizontal="right"/>
      <protection/>
    </xf>
    <xf numFmtId="4" fontId="21" fillId="0" borderId="0" xfId="81" applyNumberFormat="1" applyFont="1" applyBorder="1">
      <alignment/>
      <protection/>
    </xf>
    <xf numFmtId="4" fontId="21" fillId="0" borderId="0" xfId="75" applyNumberFormat="1" applyFont="1" applyBorder="1" applyAlignment="1">
      <alignment/>
    </xf>
    <xf numFmtId="4" fontId="21" fillId="0" borderId="21" xfId="81" applyNumberFormat="1" applyFont="1" applyBorder="1">
      <alignment/>
      <protection/>
    </xf>
    <xf numFmtId="0" fontId="20" fillId="0" borderId="15" xfId="81" applyFont="1" applyBorder="1" applyAlignment="1">
      <alignment/>
      <protection/>
    </xf>
    <xf numFmtId="0" fontId="20" fillId="0" borderId="16" xfId="81" applyFont="1" applyBorder="1" applyAlignment="1">
      <alignment/>
      <protection/>
    </xf>
    <xf numFmtId="0" fontId="21" fillId="0" borderId="16" xfId="81" applyFont="1" applyBorder="1" applyAlignment="1">
      <alignment/>
      <protection/>
    </xf>
    <xf numFmtId="0" fontId="21" fillId="36" borderId="16" xfId="81" applyFont="1" applyFill="1" applyBorder="1" applyAlignment="1">
      <alignment wrapText="1"/>
      <protection/>
    </xf>
    <xf numFmtId="0" fontId="16" fillId="0" borderId="22" xfId="81" applyFont="1" applyFill="1" applyBorder="1" applyAlignment="1">
      <alignment horizontal="center"/>
      <protection/>
    </xf>
    <xf numFmtId="0" fontId="8" fillId="36" borderId="43" xfId="82" applyFont="1" applyFill="1" applyBorder="1">
      <alignment/>
      <protection/>
    </xf>
    <xf numFmtId="0" fontId="9" fillId="36" borderId="43" xfId="82" applyFont="1" applyFill="1" applyBorder="1">
      <alignment/>
      <protection/>
    </xf>
    <xf numFmtId="3" fontId="9" fillId="36" borderId="47" xfId="82" applyNumberFormat="1" applyFont="1" applyFill="1" applyBorder="1" applyAlignment="1">
      <alignment vertical="center"/>
      <protection/>
    </xf>
    <xf numFmtId="4" fontId="21" fillId="36" borderId="43" xfId="81" applyNumberFormat="1" applyFont="1" applyFill="1" applyBorder="1" applyAlignment="1">
      <alignment horizontal="right"/>
      <protection/>
    </xf>
    <xf numFmtId="0" fontId="21" fillId="36" borderId="47" xfId="81" applyFont="1" applyFill="1" applyBorder="1">
      <alignment/>
      <protection/>
    </xf>
    <xf numFmtId="4" fontId="21" fillId="36" borderId="42" xfId="81" applyNumberFormat="1" applyFont="1" applyFill="1" applyBorder="1" applyAlignment="1">
      <alignment horizontal="right"/>
      <protection/>
    </xf>
    <xf numFmtId="4" fontId="21" fillId="36" borderId="41" xfId="81" applyNumberFormat="1" applyFont="1" applyFill="1" applyBorder="1" applyAlignment="1">
      <alignment horizontal="right"/>
      <protection/>
    </xf>
    <xf numFmtId="4" fontId="21" fillId="36" borderId="23" xfId="81" applyNumberFormat="1" applyFont="1" applyFill="1" applyBorder="1" applyAlignment="1">
      <alignment horizontal="right"/>
      <protection/>
    </xf>
    <xf numFmtId="4" fontId="21" fillId="36" borderId="42" xfId="81" applyNumberFormat="1" applyFont="1" applyFill="1" applyBorder="1">
      <alignment/>
      <protection/>
    </xf>
    <xf numFmtId="4" fontId="21" fillId="36" borderId="35" xfId="81" applyNumberFormat="1" applyFont="1" applyFill="1" applyBorder="1" applyAlignment="1">
      <alignment horizontal="right"/>
      <protection/>
    </xf>
    <xf numFmtId="4" fontId="21" fillId="36" borderId="39" xfId="81" applyNumberFormat="1" applyFont="1" applyFill="1" applyBorder="1" applyAlignment="1">
      <alignment horizontal="right"/>
      <protection/>
    </xf>
    <xf numFmtId="4" fontId="21" fillId="36" borderId="46" xfId="81" applyNumberFormat="1" applyFont="1" applyFill="1" applyBorder="1">
      <alignment/>
      <protection/>
    </xf>
    <xf numFmtId="4" fontId="21" fillId="36" borderId="43" xfId="75" applyNumberFormat="1" applyFont="1" applyFill="1" applyBorder="1" applyAlignment="1">
      <alignment/>
    </xf>
    <xf numFmtId="4" fontId="21" fillId="36" borderId="41" xfId="81" applyNumberFormat="1" applyFont="1" applyFill="1" applyBorder="1">
      <alignment/>
      <protection/>
    </xf>
    <xf numFmtId="0" fontId="8" fillId="0" borderId="10" xfId="82" applyFont="1" applyBorder="1">
      <alignment/>
      <protection/>
    </xf>
    <xf numFmtId="0" fontId="9" fillId="0" borderId="10" xfId="82" applyFont="1" applyBorder="1">
      <alignment/>
      <protection/>
    </xf>
    <xf numFmtId="3" fontId="9" fillId="0" borderId="44" xfId="82" applyNumberFormat="1" applyFont="1" applyBorder="1" applyAlignment="1">
      <alignment vertical="center"/>
      <protection/>
    </xf>
    <xf numFmtId="4" fontId="21" fillId="0" borderId="10" xfId="81" applyNumberFormat="1" applyFont="1" applyBorder="1" applyAlignment="1">
      <alignment horizontal="right"/>
      <protection/>
    </xf>
    <xf numFmtId="0" fontId="21" fillId="0" borderId="44" xfId="81" applyFont="1" applyBorder="1">
      <alignment/>
      <protection/>
    </xf>
    <xf numFmtId="4" fontId="21" fillId="0" borderId="32" xfId="81" applyNumberFormat="1" applyFont="1" applyBorder="1" applyAlignment="1">
      <alignment horizontal="right"/>
      <protection/>
    </xf>
    <xf numFmtId="4" fontId="21" fillId="0" borderId="33" xfId="81" applyNumberFormat="1" applyFont="1" applyBorder="1" applyAlignment="1">
      <alignment horizontal="right"/>
      <protection/>
    </xf>
    <xf numFmtId="4" fontId="21" fillId="0" borderId="48" xfId="81" applyNumberFormat="1" applyFont="1" applyBorder="1" applyAlignment="1">
      <alignment horizontal="right"/>
      <protection/>
    </xf>
    <xf numFmtId="4" fontId="21" fillId="0" borderId="32" xfId="81" applyNumberFormat="1" applyFont="1" applyBorder="1">
      <alignment/>
      <protection/>
    </xf>
    <xf numFmtId="4" fontId="21" fillId="0" borderId="45" xfId="81" applyNumberFormat="1" applyFont="1" applyBorder="1">
      <alignment/>
      <protection/>
    </xf>
    <xf numFmtId="4" fontId="21" fillId="0" borderId="10" xfId="75" applyNumberFormat="1" applyFont="1" applyBorder="1" applyAlignment="1">
      <alignment/>
    </xf>
    <xf numFmtId="4" fontId="21" fillId="0" borderId="33" xfId="81" applyNumberFormat="1" applyFont="1" applyBorder="1">
      <alignment/>
      <protection/>
    </xf>
    <xf numFmtId="0" fontId="15" fillId="0" borderId="42" xfId="81" applyFont="1" applyFill="1" applyBorder="1" applyAlignment="1">
      <alignment wrapText="1"/>
      <protection/>
    </xf>
    <xf numFmtId="0" fontId="15" fillId="0" borderId="43" xfId="81" applyFont="1" applyFill="1" applyBorder="1" applyAlignment="1">
      <alignment wrapText="1"/>
      <protection/>
    </xf>
    <xf numFmtId="0" fontId="9" fillId="0" borderId="43" xfId="82" applyFont="1" applyFill="1" applyBorder="1" applyAlignment="1">
      <alignment wrapText="1"/>
      <protection/>
    </xf>
    <xf numFmtId="0" fontId="9" fillId="0" borderId="43" xfId="82" applyFont="1" applyFill="1" applyBorder="1" applyAlignment="1">
      <alignment horizontal="center"/>
      <protection/>
    </xf>
    <xf numFmtId="3" fontId="23" fillId="0" borderId="47" xfId="78" applyNumberFormat="1" applyFont="1" applyFill="1" applyBorder="1" applyAlignment="1">
      <alignment/>
    </xf>
    <xf numFmtId="0" fontId="21" fillId="0" borderId="44" xfId="81" applyFont="1" applyBorder="1" applyAlignment="1">
      <alignment/>
      <protection/>
    </xf>
    <xf numFmtId="4" fontId="18" fillId="0" borderId="32" xfId="81" applyNumberFormat="1" applyFont="1" applyFill="1" applyBorder="1" applyAlignment="1">
      <alignment horizontal="right" wrapText="1"/>
      <protection/>
    </xf>
    <xf numFmtId="4" fontId="14" fillId="0" borderId="33" xfId="81" applyNumberFormat="1" applyFont="1" applyBorder="1" applyAlignment="1">
      <alignment horizontal="right"/>
      <protection/>
    </xf>
    <xf numFmtId="4" fontId="14" fillId="0" borderId="48" xfId="81" applyNumberFormat="1" applyFont="1" applyBorder="1" applyAlignment="1">
      <alignment horizontal="right"/>
      <protection/>
    </xf>
    <xf numFmtId="4" fontId="18" fillId="0" borderId="33" xfId="81" applyNumberFormat="1" applyFont="1" applyFill="1" applyBorder="1" applyAlignment="1">
      <alignment horizontal="right" wrapText="1"/>
      <protection/>
    </xf>
    <xf numFmtId="4" fontId="18" fillId="0" borderId="41" xfId="81" applyNumberFormat="1" applyFont="1" applyFill="1" applyBorder="1" applyAlignment="1">
      <alignment horizontal="right" wrapText="1"/>
      <protection/>
    </xf>
    <xf numFmtId="4" fontId="18" fillId="0" borderId="23" xfId="81" applyNumberFormat="1" applyFont="1" applyFill="1" applyBorder="1" applyAlignment="1">
      <alignment horizontal="right" wrapText="1"/>
      <protection/>
    </xf>
    <xf numFmtId="4" fontId="18" fillId="0" borderId="46" xfId="81" applyNumberFormat="1" applyFont="1" applyFill="1" applyBorder="1" applyAlignment="1">
      <alignment horizontal="center"/>
      <protection/>
    </xf>
    <xf numFmtId="4" fontId="18" fillId="0" borderId="43" xfId="75" applyNumberFormat="1" applyFont="1" applyFill="1" applyBorder="1" applyAlignment="1">
      <alignment horizontal="center"/>
    </xf>
    <xf numFmtId="4" fontId="18" fillId="0" borderId="47" xfId="81" applyNumberFormat="1" applyFont="1" applyFill="1" applyBorder="1" applyAlignment="1">
      <alignment horizontal="right"/>
      <protection/>
    </xf>
    <xf numFmtId="4" fontId="18" fillId="0" borderId="42" xfId="81" applyNumberFormat="1" applyFont="1" applyFill="1" applyBorder="1" applyAlignment="1">
      <alignment horizontal="center"/>
      <protection/>
    </xf>
    <xf numFmtId="4" fontId="18" fillId="0" borderId="41" xfId="81" applyNumberFormat="1" applyFont="1" applyFill="1" applyBorder="1" applyAlignment="1">
      <alignment horizontal="right"/>
      <protection/>
    </xf>
    <xf numFmtId="4" fontId="14" fillId="0" borderId="0" xfId="81" applyNumberFormat="1" applyFont="1" applyFill="1" applyBorder="1" applyAlignment="1">
      <alignment horizontal="center"/>
      <protection/>
    </xf>
    <xf numFmtId="0" fontId="22" fillId="0" borderId="0" xfId="81" applyFont="1" applyAlignment="1">
      <alignment/>
      <protection/>
    </xf>
    <xf numFmtId="0" fontId="16" fillId="0" borderId="37" xfId="81" applyFont="1" applyFill="1" applyBorder="1" applyAlignment="1">
      <alignment horizontal="center" vertical="center"/>
      <protection/>
    </xf>
    <xf numFmtId="0" fontId="9" fillId="0" borderId="43" xfId="82" applyFont="1" applyFill="1" applyBorder="1" applyAlignment="1">
      <alignment vertical="center"/>
      <protection/>
    </xf>
    <xf numFmtId="0" fontId="9" fillId="0" borderId="43" xfId="82" applyFont="1" applyFill="1" applyBorder="1" applyAlignment="1">
      <alignment horizontal="center" vertical="center"/>
      <protection/>
    </xf>
    <xf numFmtId="3" fontId="23" fillId="0" borderId="47" xfId="78" applyNumberFormat="1" applyFont="1" applyFill="1" applyBorder="1" applyAlignment="1">
      <alignment vertical="center"/>
    </xf>
    <xf numFmtId="4" fontId="21" fillId="0" borderId="10" xfId="81" applyNumberFormat="1" applyFont="1" applyBorder="1" applyAlignment="1">
      <alignment horizontal="right" vertical="center"/>
      <protection/>
    </xf>
    <xf numFmtId="0" fontId="21" fillId="0" borderId="44" xfId="81" applyFont="1" applyBorder="1" applyAlignment="1">
      <alignment vertical="center"/>
      <protection/>
    </xf>
    <xf numFmtId="4" fontId="14" fillId="0" borderId="33" xfId="81" applyNumberFormat="1" applyFont="1" applyBorder="1" applyAlignment="1">
      <alignment horizontal="right" vertical="center"/>
      <protection/>
    </xf>
    <xf numFmtId="4" fontId="14" fillId="0" borderId="48" xfId="81" applyNumberFormat="1" applyFont="1" applyBorder="1" applyAlignment="1">
      <alignment horizontal="right" vertical="center"/>
      <protection/>
    </xf>
    <xf numFmtId="0" fontId="22" fillId="0" borderId="0" xfId="81" applyFont="1" applyAlignment="1">
      <alignment vertical="center"/>
      <protection/>
    </xf>
    <xf numFmtId="0" fontId="24" fillId="36" borderId="10" xfId="82" applyFont="1" applyFill="1" applyBorder="1" applyAlignment="1">
      <alignment horizontal="right"/>
      <protection/>
    </xf>
    <xf numFmtId="0" fontId="8" fillId="36" borderId="10" xfId="82" applyFont="1" applyFill="1" applyBorder="1" applyAlignment="1">
      <alignment horizontal="center"/>
      <protection/>
    </xf>
    <xf numFmtId="3" fontId="23" fillId="36" borderId="44" xfId="78" applyNumberFormat="1" applyFont="1" applyFill="1" applyBorder="1" applyAlignment="1">
      <alignment vertical="center"/>
    </xf>
    <xf numFmtId="4" fontId="21" fillId="36" borderId="10" xfId="81" applyNumberFormat="1" applyFont="1" applyFill="1" applyBorder="1" applyAlignment="1">
      <alignment horizontal="right"/>
      <protection/>
    </xf>
    <xf numFmtId="0" fontId="21" fillId="36" borderId="44" xfId="81" applyFont="1" applyFill="1" applyBorder="1">
      <alignment/>
      <protection/>
    </xf>
    <xf numFmtId="4" fontId="18" fillId="36" borderId="32" xfId="81" applyNumberFormat="1" applyFont="1" applyFill="1" applyBorder="1" applyAlignment="1">
      <alignment horizontal="right" vertical="top" wrapText="1"/>
      <protection/>
    </xf>
    <xf numFmtId="4" fontId="21" fillId="36" borderId="33" xfId="81" applyNumberFormat="1" applyFont="1" applyFill="1" applyBorder="1" applyAlignment="1">
      <alignment horizontal="right" vertical="center"/>
      <protection/>
    </xf>
    <xf numFmtId="4" fontId="21" fillId="36" borderId="48" xfId="81" applyNumberFormat="1" applyFont="1" applyFill="1" applyBorder="1" applyAlignment="1">
      <alignment horizontal="right" vertical="center"/>
      <protection/>
    </xf>
    <xf numFmtId="4" fontId="21" fillId="36" borderId="45" xfId="81" applyNumberFormat="1" applyFont="1" applyFill="1" applyBorder="1">
      <alignment/>
      <protection/>
    </xf>
    <xf numFmtId="4" fontId="21" fillId="36" borderId="32" xfId="81" applyNumberFormat="1" applyFont="1" applyFill="1" applyBorder="1" applyAlignment="1">
      <alignment horizontal="right" vertical="center"/>
      <protection/>
    </xf>
    <xf numFmtId="4" fontId="21" fillId="36" borderId="10" xfId="75" applyNumberFormat="1" applyFont="1" applyFill="1" applyBorder="1" applyAlignment="1">
      <alignment/>
    </xf>
    <xf numFmtId="4" fontId="21" fillId="36" borderId="32" xfId="81" applyNumberFormat="1" applyFont="1" applyFill="1" applyBorder="1" applyAlignment="1">
      <alignment vertical="center"/>
      <protection/>
    </xf>
    <xf numFmtId="0" fontId="8" fillId="0" borderId="10" xfId="82" applyFont="1" applyFill="1" applyBorder="1" applyAlignment="1">
      <alignment/>
      <protection/>
    </xf>
    <xf numFmtId="0" fontId="9" fillId="0" borderId="10" xfId="82" applyFont="1" applyFill="1" applyBorder="1" applyAlignment="1">
      <alignment horizontal="center"/>
      <protection/>
    </xf>
    <xf numFmtId="3" fontId="23" fillId="0" borderId="44" xfId="49" applyNumberFormat="1" applyFont="1" applyFill="1" applyBorder="1" applyAlignment="1">
      <alignment horizontal="right" vertical="center"/>
    </xf>
    <xf numFmtId="4" fontId="21" fillId="0" borderId="32" xfId="81" applyNumberFormat="1" applyFont="1" applyBorder="1" applyAlignment="1">
      <alignment vertical="center"/>
      <protection/>
    </xf>
    <xf numFmtId="0" fontId="9" fillId="0" borderId="10" xfId="82" applyFont="1" applyFill="1" applyBorder="1" applyAlignment="1">
      <alignment vertical="center"/>
      <protection/>
    </xf>
    <xf numFmtId="0" fontId="9" fillId="0" borderId="10" xfId="82" applyFont="1" applyFill="1" applyBorder="1" applyAlignment="1">
      <alignment horizontal="center" vertical="center"/>
      <protection/>
    </xf>
    <xf numFmtId="4" fontId="21" fillId="0" borderId="10" xfId="75" applyNumberFormat="1" applyFont="1" applyBorder="1" applyAlignment="1">
      <alignment vertical="center"/>
    </xf>
    <xf numFmtId="4" fontId="14" fillId="0" borderId="33" xfId="81" applyNumberFormat="1" applyFont="1" applyBorder="1" applyAlignment="1">
      <alignment vertical="center"/>
      <protection/>
    </xf>
    <xf numFmtId="3" fontId="24" fillId="36" borderId="44" xfId="49" applyNumberFormat="1" applyFont="1" applyFill="1" applyBorder="1" applyAlignment="1">
      <alignment horizontal="right" vertical="center"/>
    </xf>
    <xf numFmtId="3" fontId="23" fillId="0" borderId="44" xfId="49" applyNumberFormat="1" applyFont="1" applyFill="1" applyBorder="1" applyAlignment="1">
      <alignment vertical="center"/>
    </xf>
    <xf numFmtId="4" fontId="21" fillId="0" borderId="10" xfId="81" applyNumberFormat="1" applyFont="1" applyBorder="1" applyAlignment="1">
      <alignment vertical="center"/>
      <protection/>
    </xf>
    <xf numFmtId="4" fontId="18" fillId="0" borderId="32" xfId="81" applyNumberFormat="1" applyFont="1" applyFill="1" applyBorder="1" applyAlignment="1">
      <alignment vertical="center" wrapText="1"/>
      <protection/>
    </xf>
    <xf numFmtId="0" fontId="24" fillId="0" borderId="10" xfId="82" applyFont="1" applyFill="1" applyBorder="1" applyAlignment="1">
      <alignment wrapText="1"/>
      <protection/>
    </xf>
    <xf numFmtId="0" fontId="24" fillId="0" borderId="10" xfId="82" applyFont="1" applyFill="1" applyBorder="1" applyAlignment="1">
      <alignment horizontal="center"/>
      <protection/>
    </xf>
    <xf numFmtId="3" fontId="24" fillId="0" borderId="44" xfId="78" applyNumberFormat="1" applyFont="1" applyFill="1" applyBorder="1" applyAlignment="1">
      <alignment vertical="center"/>
    </xf>
    <xf numFmtId="0" fontId="23" fillId="0" borderId="10" xfId="82" applyFont="1" applyFill="1" applyBorder="1" applyAlignment="1">
      <alignment vertical="center"/>
      <protection/>
    </xf>
    <xf numFmtId="0" fontId="23" fillId="0" borderId="10" xfId="82" applyFont="1" applyFill="1" applyBorder="1" applyAlignment="1">
      <alignment horizontal="center" vertical="center"/>
      <protection/>
    </xf>
    <xf numFmtId="3" fontId="23" fillId="0" borderId="44" xfId="78" applyNumberFormat="1" applyFont="1" applyFill="1" applyBorder="1" applyAlignment="1">
      <alignment vertical="center"/>
    </xf>
    <xf numFmtId="0" fontId="9" fillId="0" borderId="10" xfId="82" applyFont="1" applyFill="1" applyBorder="1" applyAlignment="1">
      <alignment wrapText="1"/>
      <protection/>
    </xf>
    <xf numFmtId="3" fontId="23" fillId="0" borderId="44" xfId="49" applyNumberFormat="1" applyFont="1" applyFill="1" applyBorder="1" applyAlignment="1">
      <alignment horizontal="right"/>
    </xf>
    <xf numFmtId="4" fontId="18" fillId="0" borderId="32" xfId="81" applyNumberFormat="1" applyFont="1" applyFill="1" applyBorder="1" applyAlignment="1">
      <alignment wrapText="1"/>
      <protection/>
    </xf>
    <xf numFmtId="4" fontId="21" fillId="0" borderId="10" xfId="75" applyNumberFormat="1" applyFont="1" applyBorder="1" applyAlignment="1">
      <alignment/>
    </xf>
    <xf numFmtId="4" fontId="14" fillId="0" borderId="33" xfId="81" applyNumberFormat="1" applyFont="1" applyBorder="1" applyAlignment="1">
      <alignment/>
      <protection/>
    </xf>
    <xf numFmtId="0" fontId="17" fillId="0" borderId="37" xfId="81" applyFont="1" applyFill="1" applyBorder="1" applyAlignment="1">
      <alignment horizontal="center"/>
      <protection/>
    </xf>
    <xf numFmtId="0" fontId="24" fillId="0" borderId="10" xfId="82" applyFont="1" applyFill="1" applyBorder="1">
      <alignment/>
      <protection/>
    </xf>
    <xf numFmtId="0" fontId="23" fillId="0" borderId="10" xfId="82" applyFont="1" applyFill="1" applyBorder="1" applyAlignment="1">
      <alignment horizontal="center"/>
      <protection/>
    </xf>
    <xf numFmtId="0" fontId="9" fillId="0" borderId="32" xfId="82" applyFont="1" applyFill="1" applyBorder="1" applyAlignment="1">
      <alignment vertical="center"/>
      <protection/>
    </xf>
    <xf numFmtId="0" fontId="24" fillId="0" borderId="32" xfId="82" applyFont="1" applyFill="1" applyBorder="1" applyAlignment="1">
      <alignment vertical="center"/>
      <protection/>
    </xf>
    <xf numFmtId="0" fontId="24" fillId="0" borderId="10" xfId="82" applyFont="1" applyFill="1" applyBorder="1" applyAlignment="1">
      <alignment horizontal="center" vertical="center"/>
      <protection/>
    </xf>
    <xf numFmtId="4" fontId="21" fillId="0" borderId="45" xfId="81" applyNumberFormat="1" applyFont="1" applyBorder="1" applyAlignment="1">
      <alignment vertical="center"/>
      <protection/>
    </xf>
    <xf numFmtId="4" fontId="21" fillId="0" borderId="33" xfId="81" applyNumberFormat="1" applyFont="1" applyBorder="1" applyAlignment="1">
      <alignment horizontal="right" vertical="center"/>
      <protection/>
    </xf>
    <xf numFmtId="4" fontId="21" fillId="0" borderId="32" xfId="81" applyNumberFormat="1" applyFont="1" applyBorder="1" applyAlignment="1">
      <alignment horizontal="right" vertical="center"/>
      <protection/>
    </xf>
    <xf numFmtId="4" fontId="21" fillId="0" borderId="33" xfId="81" applyNumberFormat="1" applyFont="1" applyBorder="1" applyAlignment="1">
      <alignment vertical="center"/>
      <protection/>
    </xf>
    <xf numFmtId="0" fontId="17" fillId="0" borderId="37" xfId="81" applyFont="1" applyFill="1" applyBorder="1" applyAlignment="1">
      <alignment horizontal="center" vertical="center"/>
      <protection/>
    </xf>
    <xf numFmtId="0" fontId="23" fillId="0" borderId="10" xfId="82" applyFont="1" applyFill="1" applyBorder="1" applyAlignment="1">
      <alignment vertical="center" wrapText="1"/>
      <protection/>
    </xf>
    <xf numFmtId="0" fontId="23" fillId="0" borderId="10" xfId="82" applyFont="1" applyFill="1" applyBorder="1" applyAlignment="1">
      <alignment wrapText="1"/>
      <protection/>
    </xf>
    <xf numFmtId="3" fontId="23" fillId="0" borderId="44" xfId="49" applyNumberFormat="1" applyFont="1" applyFill="1" applyBorder="1" applyAlignment="1">
      <alignment/>
    </xf>
    <xf numFmtId="4" fontId="21" fillId="0" borderId="10" xfId="81" applyNumberFormat="1" applyFont="1" applyBorder="1" applyAlignment="1">
      <alignment/>
      <protection/>
    </xf>
    <xf numFmtId="0" fontId="8" fillId="0" borderId="10" xfId="82" applyFont="1" applyFill="1" applyBorder="1" applyAlignment="1">
      <alignment horizontal="left"/>
      <protection/>
    </xf>
    <xf numFmtId="0" fontId="24" fillId="0" borderId="10" xfId="82" applyFont="1" applyFill="1" applyBorder="1" applyAlignment="1">
      <alignment vertical="center"/>
      <protection/>
    </xf>
    <xf numFmtId="3" fontId="23" fillId="0" borderId="44" xfId="78" applyNumberFormat="1" applyFont="1" applyFill="1" applyBorder="1" applyAlignment="1">
      <alignment/>
    </xf>
    <xf numFmtId="0" fontId="22" fillId="0" borderId="0" xfId="81" applyFont="1" applyBorder="1" applyAlignment="1">
      <alignment vertical="center"/>
      <protection/>
    </xf>
    <xf numFmtId="0" fontId="16" fillId="0" borderId="32" xfId="81" applyFont="1" applyFill="1" applyBorder="1" applyAlignment="1">
      <alignment horizontal="center"/>
      <protection/>
    </xf>
    <xf numFmtId="0" fontId="24" fillId="36" borderId="45" xfId="82" applyFont="1" applyFill="1" applyBorder="1" applyAlignment="1">
      <alignment horizontal="right"/>
      <protection/>
    </xf>
    <xf numFmtId="0" fontId="8" fillId="0" borderId="45" xfId="82" applyFont="1" applyFill="1" applyBorder="1" applyAlignment="1">
      <alignment vertical="center"/>
      <protection/>
    </xf>
    <xf numFmtId="0" fontId="16" fillId="0" borderId="32" xfId="81" applyFont="1" applyFill="1" applyBorder="1" applyAlignment="1">
      <alignment horizontal="center" vertical="center"/>
      <protection/>
    </xf>
    <xf numFmtId="0" fontId="9" fillId="0" borderId="45" xfId="82" applyFont="1" applyFill="1" applyBorder="1" applyAlignment="1">
      <alignment vertical="center"/>
      <protection/>
    </xf>
    <xf numFmtId="3" fontId="23" fillId="0" borderId="44" xfId="78" applyNumberFormat="1" applyFont="1" applyFill="1" applyBorder="1" applyAlignment="1">
      <alignment horizontal="right" vertical="center"/>
    </xf>
    <xf numFmtId="0" fontId="15" fillId="0" borderId="62" xfId="81" applyFont="1" applyFill="1" applyBorder="1" applyAlignment="1">
      <alignment vertical="center" wrapText="1"/>
      <protection/>
    </xf>
    <xf numFmtId="0" fontId="15" fillId="0" borderId="63" xfId="81" applyFont="1" applyFill="1" applyBorder="1" applyAlignment="1">
      <alignment vertical="center" wrapText="1"/>
      <protection/>
    </xf>
    <xf numFmtId="0" fontId="17" fillId="0" borderId="64" xfId="81" applyFont="1" applyFill="1" applyBorder="1" applyAlignment="1">
      <alignment horizontal="center" vertical="center"/>
      <protection/>
    </xf>
    <xf numFmtId="0" fontId="23" fillId="0" borderId="26" xfId="82" applyFont="1" applyFill="1" applyBorder="1" applyAlignment="1">
      <alignment vertical="center"/>
      <protection/>
    </xf>
    <xf numFmtId="0" fontId="23" fillId="0" borderId="26" xfId="82" applyFont="1" applyFill="1" applyBorder="1" applyAlignment="1">
      <alignment horizontal="center" vertical="center"/>
      <protection/>
    </xf>
    <xf numFmtId="3" fontId="23" fillId="0" borderId="27" xfId="78" applyNumberFormat="1" applyFont="1" applyFill="1" applyBorder="1" applyAlignment="1">
      <alignment vertical="center"/>
    </xf>
    <xf numFmtId="4" fontId="21" fillId="0" borderId="26" xfId="81" applyNumberFormat="1" applyFont="1" applyBorder="1" applyAlignment="1">
      <alignment vertical="center"/>
      <protection/>
    </xf>
    <xf numFmtId="0" fontId="21" fillId="0" borderId="27" xfId="81" applyFont="1" applyBorder="1" applyAlignment="1">
      <alignment vertical="center"/>
      <protection/>
    </xf>
    <xf numFmtId="4" fontId="18" fillId="0" borderId="25" xfId="81" applyNumberFormat="1" applyFont="1" applyFill="1" applyBorder="1" applyAlignment="1">
      <alignment vertical="center" wrapText="1"/>
      <protection/>
    </xf>
    <xf numFmtId="4" fontId="14" fillId="0" borderId="59" xfId="81" applyNumberFormat="1" applyFont="1" applyBorder="1" applyAlignment="1">
      <alignment horizontal="right" vertical="center"/>
      <protection/>
    </xf>
    <xf numFmtId="0" fontId="15" fillId="0" borderId="62" xfId="81" applyFont="1" applyFill="1" applyBorder="1" applyAlignment="1">
      <alignment vertical="justify" wrapText="1"/>
      <protection/>
    </xf>
    <xf numFmtId="0" fontId="15" fillId="0" borderId="63" xfId="81" applyFont="1" applyFill="1" applyBorder="1" applyAlignment="1">
      <alignment vertical="justify" wrapText="1"/>
      <protection/>
    </xf>
    <xf numFmtId="0" fontId="17" fillId="0" borderId="64" xfId="81" applyFont="1" applyFill="1" applyBorder="1" applyAlignment="1">
      <alignment horizontal="center"/>
      <protection/>
    </xf>
    <xf numFmtId="0" fontId="24" fillId="0" borderId="26" xfId="82" applyFont="1" applyFill="1" applyBorder="1" applyAlignment="1">
      <alignment vertical="center"/>
      <protection/>
    </xf>
    <xf numFmtId="4" fontId="14" fillId="0" borderId="29" xfId="81" applyNumberFormat="1" applyFont="1" applyBorder="1" applyAlignment="1">
      <alignment horizontal="right" vertical="center"/>
      <protection/>
    </xf>
    <xf numFmtId="4" fontId="14" fillId="0" borderId="29" xfId="81" applyNumberFormat="1" applyFont="1" applyBorder="1" applyAlignment="1">
      <alignment vertical="center"/>
      <protection/>
    </xf>
    <xf numFmtId="0" fontId="15" fillId="0" borderId="62" xfId="81" applyFont="1" applyFill="1" applyBorder="1" applyAlignment="1">
      <alignment wrapText="1"/>
      <protection/>
    </xf>
    <xf numFmtId="0" fontId="15" fillId="0" borderId="63" xfId="81" applyFont="1" applyFill="1" applyBorder="1" applyAlignment="1">
      <alignment wrapText="1"/>
      <protection/>
    </xf>
    <xf numFmtId="0" fontId="23" fillId="0" borderId="26" xfId="82" applyFont="1" applyFill="1" applyBorder="1" applyAlignment="1">
      <alignment wrapText="1"/>
      <protection/>
    </xf>
    <xf numFmtId="0" fontId="23" fillId="0" borderId="26" xfId="82" applyFont="1" applyFill="1" applyBorder="1" applyAlignment="1">
      <alignment horizontal="center"/>
      <protection/>
    </xf>
    <xf numFmtId="3" fontId="23" fillId="0" borderId="27" xfId="78" applyNumberFormat="1" applyFont="1" applyFill="1" applyBorder="1" applyAlignment="1">
      <alignment/>
    </xf>
    <xf numFmtId="4" fontId="21" fillId="0" borderId="26" xfId="81" applyNumberFormat="1" applyFont="1" applyBorder="1" applyAlignment="1">
      <alignment/>
      <protection/>
    </xf>
    <xf numFmtId="0" fontId="21" fillId="0" borderId="27" xfId="81" applyFont="1" applyBorder="1" applyAlignment="1">
      <alignment/>
      <protection/>
    </xf>
    <xf numFmtId="4" fontId="14" fillId="0" borderId="59" xfId="81" applyNumberFormat="1" applyFont="1" applyBorder="1" applyAlignment="1">
      <alignment horizontal="right"/>
      <protection/>
    </xf>
    <xf numFmtId="4" fontId="21" fillId="0" borderId="30" xfId="81" applyNumberFormat="1" applyFont="1" applyBorder="1" applyAlignment="1">
      <alignment vertical="center"/>
      <protection/>
    </xf>
    <xf numFmtId="0" fontId="23" fillId="0" borderId="26" xfId="82" applyFont="1" applyFill="1" applyBorder="1" applyAlignment="1">
      <alignment vertical="center" wrapText="1"/>
      <protection/>
    </xf>
    <xf numFmtId="4" fontId="21" fillId="36" borderId="32" xfId="81" applyNumberFormat="1" applyFont="1" applyFill="1" applyBorder="1">
      <alignment/>
      <protection/>
    </xf>
    <xf numFmtId="0" fontId="16" fillId="0" borderId="64" xfId="81" applyFont="1" applyFill="1" applyBorder="1" applyAlignment="1">
      <alignment horizontal="center"/>
      <protection/>
    </xf>
    <xf numFmtId="0" fontId="24" fillId="36" borderId="26" xfId="82" applyFont="1" applyFill="1" applyBorder="1" applyAlignment="1">
      <alignment horizontal="right"/>
      <protection/>
    </xf>
    <xf numFmtId="0" fontId="8" fillId="36" borderId="26" xfId="82" applyFont="1" applyFill="1" applyBorder="1" applyAlignment="1">
      <alignment horizontal="center"/>
      <protection/>
    </xf>
    <xf numFmtId="3" fontId="24" fillId="36" borderId="27" xfId="49" applyNumberFormat="1" applyFont="1" applyFill="1" applyBorder="1" applyAlignment="1">
      <alignment horizontal="right" vertical="center"/>
    </xf>
    <xf numFmtId="4" fontId="21" fillId="36" borderId="26" xfId="81" applyNumberFormat="1" applyFont="1" applyFill="1" applyBorder="1" applyAlignment="1">
      <alignment horizontal="right"/>
      <protection/>
    </xf>
    <xf numFmtId="0" fontId="21" fillId="36" borderId="27" xfId="81" applyFont="1" applyFill="1" applyBorder="1">
      <alignment/>
      <protection/>
    </xf>
    <xf numFmtId="4" fontId="18" fillId="36" borderId="25" xfId="81" applyNumberFormat="1" applyFont="1" applyFill="1" applyBorder="1" applyAlignment="1">
      <alignment horizontal="right" vertical="top" wrapText="1"/>
      <protection/>
    </xf>
    <xf numFmtId="4" fontId="21" fillId="36" borderId="29" xfId="81" applyNumberFormat="1" applyFont="1" applyFill="1" applyBorder="1" applyAlignment="1">
      <alignment horizontal="right"/>
      <protection/>
    </xf>
    <xf numFmtId="4" fontId="21" fillId="36" borderId="59" xfId="81" applyNumberFormat="1" applyFont="1" applyFill="1" applyBorder="1" applyAlignment="1">
      <alignment horizontal="right"/>
      <protection/>
    </xf>
    <xf numFmtId="4" fontId="21" fillId="36" borderId="30" xfId="81" applyNumberFormat="1" applyFont="1" applyFill="1" applyBorder="1">
      <alignment/>
      <protection/>
    </xf>
    <xf numFmtId="4" fontId="21" fillId="36" borderId="32" xfId="81" applyNumberFormat="1" applyFont="1" applyFill="1" applyBorder="1" applyAlignment="1">
      <alignment horizontal="right"/>
      <protection/>
    </xf>
    <xf numFmtId="4" fontId="21" fillId="36" borderId="26" xfId="75" applyNumberFormat="1" applyFont="1" applyFill="1" applyBorder="1" applyAlignment="1">
      <alignment/>
    </xf>
    <xf numFmtId="4" fontId="21" fillId="36" borderId="30" xfId="81" applyNumberFormat="1" applyFont="1" applyFill="1" applyBorder="1" applyAlignment="1">
      <alignment vertical="center"/>
      <protection/>
    </xf>
    <xf numFmtId="0" fontId="15" fillId="0" borderId="25" xfId="81" applyFont="1" applyFill="1" applyBorder="1" applyAlignment="1">
      <alignment vertical="justify" wrapText="1"/>
      <protection/>
    </xf>
    <xf numFmtId="0" fontId="15" fillId="0" borderId="26" xfId="81" applyFont="1" applyFill="1" applyBorder="1" applyAlignment="1">
      <alignment vertical="justify" wrapText="1"/>
      <protection/>
    </xf>
    <xf numFmtId="0" fontId="16" fillId="0" borderId="52" xfId="81" applyFont="1" applyFill="1" applyBorder="1" applyAlignment="1">
      <alignment horizontal="center"/>
      <protection/>
    </xf>
    <xf numFmtId="0" fontId="21" fillId="0" borderId="26" xfId="81" applyFont="1" applyFill="1" applyBorder="1" applyAlignment="1">
      <alignment horizontal="center"/>
      <protection/>
    </xf>
    <xf numFmtId="4" fontId="21" fillId="0" borderId="26" xfId="81" applyNumberFormat="1" applyFont="1" applyFill="1" applyBorder="1" applyAlignment="1">
      <alignment horizontal="right"/>
      <protection/>
    </xf>
    <xf numFmtId="3" fontId="16" fillId="0" borderId="27" xfId="48" applyNumberFormat="1" applyFont="1" applyFill="1" applyBorder="1" applyAlignment="1">
      <alignment horizontal="right" vertical="center"/>
    </xf>
    <xf numFmtId="4" fontId="18" fillId="0" borderId="25" xfId="81" applyNumberFormat="1" applyFont="1" applyFill="1" applyBorder="1" applyAlignment="1">
      <alignment horizontal="right" vertical="top" wrapText="1"/>
      <protection/>
    </xf>
    <xf numFmtId="4" fontId="21" fillId="36" borderId="33" xfId="81" applyNumberFormat="1" applyFont="1" applyFill="1" applyBorder="1" applyAlignment="1">
      <alignment horizontal="right"/>
      <protection/>
    </xf>
    <xf numFmtId="4" fontId="21" fillId="36" borderId="28" xfId="81" applyNumberFormat="1" applyFont="1" applyFill="1" applyBorder="1" applyAlignment="1">
      <alignment horizontal="right"/>
      <protection/>
    </xf>
    <xf numFmtId="4" fontId="21" fillId="0" borderId="30" xfId="81" applyNumberFormat="1" applyFont="1" applyBorder="1">
      <alignment/>
      <protection/>
    </xf>
    <xf numFmtId="4" fontId="21" fillId="36" borderId="52" xfId="81" applyNumberFormat="1" applyFont="1" applyFill="1" applyBorder="1" applyAlignment="1">
      <alignment horizontal="right"/>
      <protection/>
    </xf>
    <xf numFmtId="4" fontId="21" fillId="0" borderId="26" xfId="75" applyNumberFormat="1" applyFont="1" applyBorder="1" applyAlignment="1">
      <alignment/>
    </xf>
    <xf numFmtId="0" fontId="16" fillId="0" borderId="20" xfId="81" applyFont="1" applyFill="1" applyBorder="1" applyAlignment="1">
      <alignment horizontal="center"/>
      <protection/>
    </xf>
    <xf numFmtId="0" fontId="21" fillId="0" borderId="36" xfId="81" applyFont="1" applyFill="1" applyBorder="1" applyAlignment="1">
      <alignment horizontal="left" wrapText="1"/>
      <protection/>
    </xf>
    <xf numFmtId="0" fontId="14" fillId="0" borderId="36" xfId="81" applyFont="1" applyFill="1" applyBorder="1" applyAlignment="1">
      <alignment horizontal="center"/>
      <protection/>
    </xf>
    <xf numFmtId="0" fontId="21" fillId="0" borderId="36" xfId="81" applyFont="1" applyFill="1" applyBorder="1" applyAlignment="1">
      <alignment horizontal="center"/>
      <protection/>
    </xf>
    <xf numFmtId="4" fontId="21" fillId="0" borderId="39" xfId="81" applyNumberFormat="1" applyFont="1" applyBorder="1" applyAlignment="1">
      <alignment horizontal="right"/>
      <protection/>
    </xf>
    <xf numFmtId="4" fontId="21" fillId="0" borderId="58" xfId="81" applyNumberFormat="1" applyFont="1" applyBorder="1" applyAlignment="1">
      <alignment horizontal="right"/>
      <protection/>
    </xf>
    <xf numFmtId="4" fontId="21" fillId="0" borderId="40" xfId="81" applyNumberFormat="1" applyFont="1" applyBorder="1">
      <alignment/>
      <protection/>
    </xf>
    <xf numFmtId="4" fontId="21" fillId="0" borderId="38" xfId="81" applyNumberFormat="1" applyFont="1" applyBorder="1" applyAlignment="1">
      <alignment horizontal="right"/>
      <protection/>
    </xf>
    <xf numFmtId="4" fontId="21" fillId="0" borderId="40" xfId="81" applyNumberFormat="1" applyFont="1" applyBorder="1" applyAlignment="1">
      <alignment horizontal="right"/>
      <protection/>
    </xf>
    <xf numFmtId="4" fontId="21" fillId="0" borderId="35" xfId="81" applyNumberFormat="1" applyFont="1" applyBorder="1">
      <alignment/>
      <protection/>
    </xf>
    <xf numFmtId="4" fontId="21" fillId="0" borderId="36" xfId="75" applyNumberFormat="1" applyFont="1" applyBorder="1" applyAlignment="1">
      <alignment/>
    </xf>
    <xf numFmtId="4" fontId="21" fillId="0" borderId="40" xfId="81" applyNumberFormat="1" applyFont="1" applyBorder="1" applyAlignment="1">
      <alignment vertical="center"/>
      <protection/>
    </xf>
    <xf numFmtId="4" fontId="21" fillId="0" borderId="39" xfId="81" applyNumberFormat="1" applyFont="1" applyBorder="1">
      <alignment/>
      <protection/>
    </xf>
    <xf numFmtId="4" fontId="22" fillId="0" borderId="0" xfId="81" applyNumberFormat="1" applyFont="1">
      <alignment/>
      <protection/>
    </xf>
    <xf numFmtId="0" fontId="15" fillId="0" borderId="32" xfId="81" applyFont="1" applyFill="1" applyBorder="1" applyAlignment="1">
      <alignment vertical="justify" wrapText="1"/>
      <protection/>
    </xf>
    <xf numFmtId="0" fontId="15" fillId="0" borderId="10" xfId="81" applyFont="1" applyFill="1" applyBorder="1" applyAlignment="1">
      <alignment vertical="justify" wrapText="1"/>
      <protection/>
    </xf>
    <xf numFmtId="0" fontId="21" fillId="0" borderId="10" xfId="81" applyFont="1" applyFill="1" applyBorder="1" applyAlignment="1">
      <alignment horizontal="left" wrapText="1"/>
      <protection/>
    </xf>
    <xf numFmtId="0" fontId="14" fillId="0" borderId="10" xfId="81" applyFont="1" applyFill="1" applyBorder="1" applyAlignment="1">
      <alignment horizontal="center"/>
      <protection/>
    </xf>
    <xf numFmtId="0" fontId="21" fillId="0" borderId="10" xfId="81" applyFont="1" applyFill="1" applyBorder="1" applyAlignment="1">
      <alignment horizontal="center"/>
      <protection/>
    </xf>
    <xf numFmtId="4" fontId="21" fillId="0" borderId="44" xfId="81" applyNumberFormat="1" applyFont="1" applyBorder="1" applyAlignment="1">
      <alignment horizontal="right"/>
      <protection/>
    </xf>
    <xf numFmtId="4" fontId="21" fillId="0" borderId="45" xfId="81" applyNumberFormat="1" applyFont="1" applyBorder="1" applyAlignment="1">
      <alignment horizontal="right"/>
      <protection/>
    </xf>
    <xf numFmtId="4" fontId="21" fillId="0" borderId="32" xfId="81" applyNumberFormat="1" applyFont="1" applyFill="1" applyBorder="1">
      <alignment/>
      <protection/>
    </xf>
    <xf numFmtId="4" fontId="21" fillId="0" borderId="10" xfId="75" applyNumberFormat="1" applyFont="1" applyFill="1" applyBorder="1" applyAlignment="1">
      <alignment/>
    </xf>
    <xf numFmtId="4" fontId="21" fillId="0" borderId="45" xfId="81" applyNumberFormat="1" applyFont="1" applyFill="1" applyBorder="1" applyAlignment="1">
      <alignment vertical="center"/>
      <protection/>
    </xf>
    <xf numFmtId="4" fontId="21" fillId="0" borderId="33" xfId="81" applyNumberFormat="1" applyFont="1" applyFill="1" applyBorder="1">
      <alignment/>
      <protection/>
    </xf>
    <xf numFmtId="4" fontId="21" fillId="0" borderId="45" xfId="81" applyNumberFormat="1" applyFont="1" applyFill="1" applyBorder="1">
      <alignment/>
      <protection/>
    </xf>
    <xf numFmtId="0" fontId="21" fillId="38" borderId="10" xfId="81" applyFont="1" applyFill="1" applyBorder="1">
      <alignment/>
      <protection/>
    </xf>
    <xf numFmtId="4" fontId="21" fillId="38" borderId="10" xfId="81" applyNumberFormat="1" applyFont="1" applyFill="1" applyBorder="1" applyAlignment="1">
      <alignment horizontal="right"/>
      <protection/>
    </xf>
    <xf numFmtId="4" fontId="21" fillId="38" borderId="33" xfId="81" applyNumberFormat="1" applyFont="1" applyFill="1" applyBorder="1" applyAlignment="1">
      <alignment horizontal="right"/>
      <protection/>
    </xf>
    <xf numFmtId="4" fontId="18" fillId="38" borderId="32" xfId="81" applyNumberFormat="1" applyFont="1" applyFill="1" applyBorder="1" applyAlignment="1">
      <alignment horizontal="right" vertical="top" wrapText="1"/>
      <protection/>
    </xf>
    <xf numFmtId="4" fontId="21" fillId="38" borderId="48" xfId="81" applyNumberFormat="1" applyFont="1" applyFill="1" applyBorder="1" applyAlignment="1">
      <alignment horizontal="right"/>
      <protection/>
    </xf>
    <xf numFmtId="4" fontId="21" fillId="38" borderId="45" xfId="81" applyNumberFormat="1" applyFont="1" applyFill="1" applyBorder="1">
      <alignment/>
      <protection/>
    </xf>
    <xf numFmtId="4" fontId="21" fillId="38" borderId="32" xfId="81" applyNumberFormat="1" applyFont="1" applyFill="1" applyBorder="1">
      <alignment/>
      <protection/>
    </xf>
    <xf numFmtId="4" fontId="21" fillId="38" borderId="10" xfId="75" applyNumberFormat="1" applyFont="1" applyFill="1" applyBorder="1" applyAlignment="1">
      <alignment/>
    </xf>
    <xf numFmtId="4" fontId="21" fillId="38" borderId="45" xfId="81" applyNumberFormat="1" applyFont="1" applyFill="1" applyBorder="1" applyAlignment="1">
      <alignment vertical="center"/>
      <protection/>
    </xf>
    <xf numFmtId="4" fontId="21" fillId="38" borderId="59" xfId="81" applyNumberFormat="1" applyFont="1" applyFill="1" applyBorder="1" applyAlignment="1">
      <alignment horizontal="center" vertical="center"/>
      <protection/>
    </xf>
    <xf numFmtId="4" fontId="21" fillId="38" borderId="59" xfId="81" applyNumberFormat="1" applyFont="1" applyFill="1" applyBorder="1" applyAlignment="1">
      <alignment horizontal="right" vertical="center"/>
      <protection/>
    </xf>
    <xf numFmtId="4" fontId="21" fillId="38" borderId="10" xfId="75" applyNumberFormat="1" applyFont="1" applyFill="1" applyBorder="1" applyAlignment="1">
      <alignment vertical="center"/>
    </xf>
    <xf numFmtId="4" fontId="21" fillId="38" borderId="65" xfId="81" applyNumberFormat="1" applyFont="1" applyFill="1" applyBorder="1" applyAlignment="1">
      <alignment horizontal="center" vertical="center"/>
      <protection/>
    </xf>
    <xf numFmtId="4" fontId="21" fillId="38" borderId="65" xfId="81" applyNumberFormat="1" applyFont="1" applyFill="1" applyBorder="1" applyAlignment="1">
      <alignment horizontal="right" vertical="center"/>
      <protection/>
    </xf>
    <xf numFmtId="4" fontId="21" fillId="38" borderId="34" xfId="75" applyNumberFormat="1" applyFont="1" applyFill="1" applyBorder="1" applyAlignment="1">
      <alignment vertical="center"/>
    </xf>
    <xf numFmtId="4" fontId="25" fillId="37" borderId="0" xfId="81" applyNumberFormat="1" applyFont="1" applyFill="1" applyBorder="1" applyAlignment="1">
      <alignment horizontal="right"/>
      <protection/>
    </xf>
    <xf numFmtId="3" fontId="13" fillId="0" borderId="0" xfId="81" applyNumberFormat="1" applyFont="1">
      <alignment/>
      <protection/>
    </xf>
    <xf numFmtId="0" fontId="21" fillId="36" borderId="0" xfId="81" applyFont="1" applyFill="1" applyBorder="1" applyAlignment="1">
      <alignment wrapText="1"/>
      <protection/>
    </xf>
    <xf numFmtId="0" fontId="21" fillId="35" borderId="23" xfId="81" applyFont="1" applyFill="1" applyBorder="1">
      <alignment/>
      <protection/>
    </xf>
    <xf numFmtId="0" fontId="21" fillId="0" borderId="23" xfId="81" applyFont="1" applyBorder="1">
      <alignment/>
      <protection/>
    </xf>
    <xf numFmtId="4" fontId="21" fillId="0" borderId="23" xfId="81" applyNumberFormat="1" applyFont="1" applyBorder="1" applyAlignment="1">
      <alignment horizontal="right"/>
      <protection/>
    </xf>
    <xf numFmtId="4" fontId="21" fillId="0" borderId="23" xfId="81" applyNumberFormat="1" applyFont="1" applyBorder="1">
      <alignment/>
      <protection/>
    </xf>
    <xf numFmtId="4" fontId="21" fillId="0" borderId="23" xfId="75" applyNumberFormat="1" applyFont="1" applyBorder="1" applyAlignment="1">
      <alignment/>
    </xf>
    <xf numFmtId="4" fontId="21" fillId="0" borderId="24" xfId="81" applyNumberFormat="1" applyFont="1" applyBorder="1">
      <alignment/>
      <protection/>
    </xf>
    <xf numFmtId="4" fontId="22" fillId="39" borderId="0" xfId="81" applyNumberFormat="1" applyFont="1" applyFill="1">
      <alignment/>
      <protection/>
    </xf>
    <xf numFmtId="0" fontId="21" fillId="0" borderId="0" xfId="81" applyFont="1" applyFill="1" applyBorder="1" applyAlignment="1">
      <alignment wrapText="1"/>
      <protection/>
    </xf>
    <xf numFmtId="182" fontId="13" fillId="0" borderId="0" xfId="81" applyNumberFormat="1" applyFont="1">
      <alignment/>
      <protection/>
    </xf>
    <xf numFmtId="182" fontId="26" fillId="0" borderId="0" xfId="81" applyNumberFormat="1" applyFont="1">
      <alignment/>
      <protection/>
    </xf>
    <xf numFmtId="0" fontId="22" fillId="39" borderId="0" xfId="81" applyFont="1" applyFill="1">
      <alignment/>
      <protection/>
    </xf>
    <xf numFmtId="0" fontId="14" fillId="0" borderId="23" xfId="81" applyFont="1" applyBorder="1">
      <alignment/>
      <protection/>
    </xf>
    <xf numFmtId="4" fontId="14" fillId="0" borderId="23" xfId="81" applyNumberFormat="1" applyFont="1" applyBorder="1" applyAlignment="1">
      <alignment horizontal="right"/>
      <protection/>
    </xf>
    <xf numFmtId="0" fontId="20" fillId="0" borderId="0" xfId="81" applyFont="1" applyBorder="1" applyAlignment="1">
      <alignment horizontal="left"/>
      <protection/>
    </xf>
    <xf numFmtId="4" fontId="14" fillId="0" borderId="23" xfId="81" applyNumberFormat="1" applyFont="1" applyBorder="1">
      <alignment/>
      <protection/>
    </xf>
    <xf numFmtId="4" fontId="14" fillId="0" borderId="23" xfId="75" applyNumberFormat="1" applyFont="1" applyBorder="1" applyAlignment="1">
      <alignment/>
    </xf>
    <xf numFmtId="4" fontId="14" fillId="0" borderId="24" xfId="81" applyNumberFormat="1" applyFont="1" applyBorder="1">
      <alignment/>
      <protection/>
    </xf>
    <xf numFmtId="0" fontId="14" fillId="0" borderId="0" xfId="81" applyFont="1">
      <alignment/>
      <protection/>
    </xf>
    <xf numFmtId="0" fontId="14" fillId="0" borderId="0" xfId="81" applyFont="1" applyBorder="1">
      <alignment/>
      <protection/>
    </xf>
    <xf numFmtId="4" fontId="14" fillId="0" borderId="0" xfId="81" applyNumberFormat="1" applyFont="1" applyBorder="1" applyAlignment="1">
      <alignment horizontal="right"/>
      <protection/>
    </xf>
    <xf numFmtId="0" fontId="15" fillId="0" borderId="0" xfId="81" applyFont="1" applyBorder="1" applyAlignment="1">
      <alignment/>
      <protection/>
    </xf>
    <xf numFmtId="4" fontId="14" fillId="0" borderId="0" xfId="81" applyNumberFormat="1" applyFont="1" applyBorder="1">
      <alignment/>
      <protection/>
    </xf>
    <xf numFmtId="4" fontId="14" fillId="0" borderId="0" xfId="75" applyNumberFormat="1" applyFont="1" applyBorder="1" applyAlignment="1">
      <alignment/>
    </xf>
    <xf numFmtId="4" fontId="14" fillId="0" borderId="21" xfId="81" applyNumberFormat="1" applyFont="1" applyBorder="1">
      <alignment/>
      <protection/>
    </xf>
    <xf numFmtId="3" fontId="14" fillId="0" borderId="0" xfId="81" applyNumberFormat="1" applyFont="1">
      <alignment/>
      <protection/>
    </xf>
    <xf numFmtId="4" fontId="27" fillId="39" borderId="0" xfId="81" applyNumberFormat="1" applyFont="1" applyFill="1">
      <alignment/>
      <protection/>
    </xf>
    <xf numFmtId="0" fontId="20" fillId="0" borderId="20" xfId="81" applyFont="1" applyBorder="1" applyAlignment="1">
      <alignment horizontal="left"/>
      <protection/>
    </xf>
    <xf numFmtId="4" fontId="14" fillId="0" borderId="0" xfId="81" applyNumberFormat="1" applyFont="1">
      <alignment/>
      <protection/>
    </xf>
    <xf numFmtId="0" fontId="20" fillId="0" borderId="0" xfId="81" applyFont="1" applyBorder="1" applyAlignment="1">
      <alignment horizontal="right"/>
      <protection/>
    </xf>
    <xf numFmtId="4" fontId="21" fillId="40" borderId="0" xfId="81" applyNumberFormat="1" applyFont="1" applyFill="1">
      <alignment/>
      <protection/>
    </xf>
    <xf numFmtId="4" fontId="14" fillId="39" borderId="0" xfId="81" applyNumberFormat="1" applyFont="1" applyFill="1">
      <alignment/>
      <protection/>
    </xf>
    <xf numFmtId="0" fontId="21" fillId="0" borderId="0" xfId="81" applyFont="1" applyBorder="1" applyAlignment="1">
      <alignment horizontal="left"/>
      <protection/>
    </xf>
    <xf numFmtId="4" fontId="21" fillId="0" borderId="0" xfId="81" applyNumberFormat="1" applyFont="1" applyBorder="1" applyAlignment="1">
      <alignment horizontal="left"/>
      <protection/>
    </xf>
    <xf numFmtId="3" fontId="15" fillId="0" borderId="0" xfId="81" applyNumberFormat="1" applyFont="1">
      <alignment/>
      <protection/>
    </xf>
    <xf numFmtId="0" fontId="15" fillId="0" borderId="66" xfId="81" applyFont="1" applyBorder="1" applyAlignment="1">
      <alignment horizontal="left"/>
      <protection/>
    </xf>
    <xf numFmtId="0" fontId="15" fillId="0" borderId="65" xfId="81" applyFont="1" applyBorder="1" applyAlignment="1">
      <alignment/>
      <protection/>
    </xf>
    <xf numFmtId="0" fontId="14" fillId="0" borderId="65" xfId="81" applyFont="1" applyBorder="1" applyAlignment="1">
      <alignment/>
      <protection/>
    </xf>
    <xf numFmtId="0" fontId="14" fillId="0" borderId="65" xfId="81" applyFont="1" applyBorder="1" applyAlignment="1">
      <alignment wrapText="1"/>
      <protection/>
    </xf>
    <xf numFmtId="0" fontId="14" fillId="0" borderId="65" xfId="81" applyFont="1" applyBorder="1">
      <alignment/>
      <protection/>
    </xf>
    <xf numFmtId="4" fontId="14" fillId="0" borderId="65" xfId="81" applyNumberFormat="1" applyFont="1" applyBorder="1" applyAlignment="1">
      <alignment horizontal="right"/>
      <protection/>
    </xf>
    <xf numFmtId="4" fontId="21" fillId="0" borderId="65" xfId="81" applyNumberFormat="1" applyFont="1" applyBorder="1" applyAlignment="1">
      <alignment horizontal="right"/>
      <protection/>
    </xf>
    <xf numFmtId="4" fontId="21" fillId="0" borderId="65" xfId="81" applyNumberFormat="1" applyFont="1" applyBorder="1" applyAlignment="1">
      <alignment horizontal="left"/>
      <protection/>
    </xf>
    <xf numFmtId="4" fontId="14" fillId="0" borderId="65" xfId="81" applyNumberFormat="1" applyFont="1" applyBorder="1">
      <alignment/>
      <protection/>
    </xf>
    <xf numFmtId="4" fontId="14" fillId="0" borderId="65" xfId="75" applyNumberFormat="1" applyFont="1" applyBorder="1" applyAlignment="1">
      <alignment/>
    </xf>
    <xf numFmtId="4" fontId="14" fillId="0" borderId="67" xfId="81" applyNumberFormat="1" applyFont="1" applyBorder="1">
      <alignment/>
      <protection/>
    </xf>
    <xf numFmtId="0" fontId="14" fillId="0" borderId="0" xfId="81" applyFont="1" applyBorder="1" applyAlignment="1">
      <alignment/>
      <protection/>
    </xf>
    <xf numFmtId="0" fontId="14" fillId="0" borderId="0" xfId="81" applyFont="1" applyBorder="1" applyAlignment="1">
      <alignment wrapText="1"/>
      <protection/>
    </xf>
    <xf numFmtId="0" fontId="9" fillId="0" borderId="0" xfId="81" applyFont="1">
      <alignment/>
      <protection/>
    </xf>
    <xf numFmtId="4" fontId="9" fillId="0" borderId="0" xfId="81" applyNumberFormat="1" applyFont="1" applyAlignment="1">
      <alignment horizontal="right"/>
      <protection/>
    </xf>
    <xf numFmtId="4" fontId="9" fillId="0" borderId="0" xfId="81" applyNumberFormat="1" applyFont="1">
      <alignment/>
      <protection/>
    </xf>
    <xf numFmtId="4" fontId="3" fillId="0" borderId="0" xfId="81" applyNumberFormat="1" applyFont="1">
      <alignment/>
      <protection/>
    </xf>
    <xf numFmtId="4" fontId="3" fillId="0" borderId="0" xfId="81" applyNumberFormat="1">
      <alignment/>
      <protection/>
    </xf>
    <xf numFmtId="0" fontId="3" fillId="39" borderId="0" xfId="81" applyFont="1" applyFill="1">
      <alignment/>
      <protection/>
    </xf>
    <xf numFmtId="4" fontId="65" fillId="9" borderId="0" xfId="81" applyNumberFormat="1" applyFont="1" applyFill="1">
      <alignment/>
      <protection/>
    </xf>
    <xf numFmtId="0" fontId="3" fillId="35" borderId="0" xfId="81" applyFont="1" applyFill="1">
      <alignment/>
      <protection/>
    </xf>
    <xf numFmtId="0" fontId="3" fillId="35" borderId="0" xfId="81" applyFill="1">
      <alignment/>
      <protection/>
    </xf>
    <xf numFmtId="4" fontId="66" fillId="0" borderId="0" xfId="81" applyNumberFormat="1" applyFont="1">
      <alignment/>
      <protection/>
    </xf>
    <xf numFmtId="49" fontId="0" fillId="0" borderId="0" xfId="0" applyNumberFormat="1" applyFill="1" applyAlignment="1">
      <alignment horizontal="center" vertical="center"/>
    </xf>
    <xf numFmtId="49" fontId="64" fillId="0" borderId="0" xfId="0" applyNumberFormat="1" applyFont="1" applyFill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6" fontId="0" fillId="0" borderId="12" xfId="0" applyNumberFormat="1" applyFill="1" applyBorder="1" applyAlignment="1">
      <alignment horizontal="center" vertical="center"/>
    </xf>
    <xf numFmtId="16" fontId="0" fillId="0" borderId="12" xfId="0" applyNumberFormat="1" applyFont="1" applyFill="1" applyBorder="1" applyAlignment="1">
      <alignment horizontal="center" vertical="center"/>
    </xf>
    <xf numFmtId="180" fontId="0" fillId="35" borderId="12" xfId="46" applyNumberFormat="1" applyFont="1" applyFill="1" applyBorder="1" applyAlignment="1">
      <alignment vertical="center"/>
    </xf>
    <xf numFmtId="180" fontId="0" fillId="35" borderId="12" xfId="46" applyNumberFormat="1" applyFont="1" applyFill="1" applyBorder="1" applyAlignment="1">
      <alignment horizontal="center" vertical="center"/>
    </xf>
    <xf numFmtId="171" fontId="0" fillId="0" borderId="0" xfId="46" applyFont="1" applyFill="1" applyAlignment="1">
      <alignment vertical="center"/>
    </xf>
    <xf numFmtId="171" fontId="2" fillId="0" borderId="16" xfId="46" applyFont="1" applyFill="1" applyBorder="1" applyAlignment="1">
      <alignment horizontal="center" vertical="center"/>
    </xf>
    <xf numFmtId="171" fontId="2" fillId="0" borderId="14" xfId="46" applyFont="1" applyFill="1" applyBorder="1" applyAlignment="1">
      <alignment horizontal="center" vertical="center"/>
    </xf>
    <xf numFmtId="171" fontId="64" fillId="0" borderId="12" xfId="46" applyFont="1" applyFill="1" applyBorder="1" applyAlignment="1">
      <alignment horizontal="center" vertical="center"/>
    </xf>
    <xf numFmtId="171" fontId="0" fillId="0" borderId="12" xfId="46" applyFont="1" applyFill="1" applyBorder="1" applyAlignment="1">
      <alignment vertical="center"/>
    </xf>
    <xf numFmtId="171" fontId="64" fillId="0" borderId="12" xfId="46" applyFont="1" applyFill="1" applyBorder="1" applyAlignment="1">
      <alignment vertical="center"/>
    </xf>
    <xf numFmtId="171" fontId="0" fillId="0" borderId="12" xfId="46" applyFont="1" applyFill="1" applyBorder="1" applyAlignment="1">
      <alignment horizontal="right" vertical="center"/>
    </xf>
    <xf numFmtId="171" fontId="64" fillId="0" borderId="0" xfId="46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71" fontId="0" fillId="0" borderId="14" xfId="46" applyFont="1" applyFill="1" applyBorder="1" applyAlignment="1">
      <alignment vertical="center"/>
    </xf>
    <xf numFmtId="180" fontId="0" fillId="0" borderId="14" xfId="46" applyNumberFormat="1" applyFont="1" applyFill="1" applyBorder="1" applyAlignment="1">
      <alignment vertical="center"/>
    </xf>
    <xf numFmtId="0" fontId="67" fillId="0" borderId="0" xfId="0" applyFont="1" applyFill="1" applyAlignment="1">
      <alignment horizontal="centerContinuous" vertical="center"/>
    </xf>
    <xf numFmtId="49" fontId="0" fillId="18" borderId="12" xfId="0" applyNumberFormat="1" applyFon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180" fontId="2" fillId="0" borderId="57" xfId="46" applyNumberFormat="1" applyFont="1" applyFill="1" applyBorder="1" applyAlignment="1">
      <alignment horizontal="center" vertical="center"/>
    </xf>
    <xf numFmtId="180" fontId="64" fillId="0" borderId="68" xfId="46" applyNumberFormat="1" applyFont="1" applyFill="1" applyBorder="1" applyAlignment="1">
      <alignment horizontal="center" vertical="center"/>
    </xf>
    <xf numFmtId="180" fontId="0" fillId="0" borderId="68" xfId="46" applyNumberFormat="1" applyFont="1" applyFill="1" applyBorder="1" applyAlignment="1">
      <alignment horizontal="right" vertical="center"/>
    </xf>
    <xf numFmtId="180" fontId="64" fillId="0" borderId="68" xfId="46" applyNumberFormat="1" applyFont="1" applyFill="1" applyBorder="1" applyAlignment="1">
      <alignment horizontal="right" vertical="center"/>
    </xf>
    <xf numFmtId="180" fontId="0" fillId="0" borderId="69" xfId="46" applyNumberFormat="1" applyFont="1" applyFill="1" applyBorder="1" applyAlignment="1">
      <alignment horizontal="right" vertical="center"/>
    </xf>
    <xf numFmtId="180" fontId="0" fillId="0" borderId="68" xfId="46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171" fontId="0" fillId="35" borderId="12" xfId="46" applyFont="1" applyFill="1" applyBorder="1" applyAlignment="1">
      <alignment vertical="center"/>
    </xf>
    <xf numFmtId="180" fontId="0" fillId="35" borderId="68" xfId="46" applyNumberFormat="1" applyFont="1" applyFill="1" applyBorder="1" applyAlignment="1">
      <alignment horizontal="right" vertical="center"/>
    </xf>
    <xf numFmtId="180" fontId="2" fillId="25" borderId="69" xfId="46" applyNumberFormat="1" applyFont="1" applyFill="1" applyBorder="1" applyAlignment="1">
      <alignment horizontal="center" vertical="center"/>
    </xf>
    <xf numFmtId="180" fontId="64" fillId="25" borderId="68" xfId="46" applyNumberFormat="1" applyFont="1" applyFill="1" applyBorder="1" applyAlignment="1">
      <alignment horizontal="right" vertical="center"/>
    </xf>
    <xf numFmtId="0" fontId="0" fillId="41" borderId="12" xfId="0" applyFill="1" applyBorder="1" applyAlignment="1">
      <alignment vertical="center"/>
    </xf>
    <xf numFmtId="171" fontId="0" fillId="41" borderId="12" xfId="46" applyFont="1" applyFill="1" applyBorder="1" applyAlignment="1">
      <alignment vertical="center"/>
    </xf>
    <xf numFmtId="180" fontId="0" fillId="41" borderId="12" xfId="46" applyNumberFormat="1" applyFont="1" applyFill="1" applyBorder="1" applyAlignment="1">
      <alignment vertical="center"/>
    </xf>
    <xf numFmtId="4" fontId="12" fillId="33" borderId="17" xfId="81" applyNumberFormat="1" applyFont="1" applyFill="1" applyBorder="1" applyAlignment="1">
      <alignment horizontal="center" vertical="center" wrapText="1"/>
      <protection/>
    </xf>
    <xf numFmtId="4" fontId="12" fillId="33" borderId="19" xfId="81" applyNumberFormat="1" applyFont="1" applyFill="1" applyBorder="1" applyAlignment="1">
      <alignment horizontal="center" vertical="center" wrapText="1"/>
      <protection/>
    </xf>
    <xf numFmtId="0" fontId="11" fillId="0" borderId="23" xfId="81" applyFont="1" applyBorder="1" applyAlignment="1">
      <alignment horizontal="center"/>
      <protection/>
    </xf>
    <xf numFmtId="0" fontId="11" fillId="0" borderId="24" xfId="81" applyFont="1" applyBorder="1" applyAlignment="1">
      <alignment horizontal="center"/>
      <protection/>
    </xf>
    <xf numFmtId="0" fontId="4" fillId="0" borderId="17" xfId="81" applyFont="1" applyBorder="1" applyAlignment="1">
      <alignment horizontal="center" vertical="center" wrapText="1"/>
      <protection/>
    </xf>
    <xf numFmtId="0" fontId="4" fillId="0" borderId="18" xfId="81" applyFont="1" applyBorder="1" applyAlignment="1">
      <alignment horizontal="center" vertical="center" wrapText="1"/>
      <protection/>
    </xf>
    <xf numFmtId="0" fontId="4" fillId="0" borderId="20" xfId="81" applyFont="1" applyBorder="1" applyAlignment="1">
      <alignment horizontal="center" vertical="center" wrapText="1"/>
      <protection/>
    </xf>
    <xf numFmtId="0" fontId="4" fillId="0" borderId="0" xfId="81" applyFont="1" applyBorder="1" applyAlignment="1">
      <alignment horizontal="center" vertical="center" wrapText="1"/>
      <protection/>
    </xf>
    <xf numFmtId="0" fontId="4" fillId="0" borderId="66" xfId="81" applyFont="1" applyBorder="1" applyAlignment="1">
      <alignment horizontal="center" vertical="center" wrapText="1"/>
      <protection/>
    </xf>
    <xf numFmtId="0" fontId="4" fillId="0" borderId="65" xfId="81" applyFont="1" applyBorder="1" applyAlignment="1">
      <alignment horizontal="center" vertical="center" wrapText="1"/>
      <protection/>
    </xf>
    <xf numFmtId="4" fontId="5" fillId="0" borderId="36" xfId="81" applyNumberFormat="1" applyFont="1" applyBorder="1" applyAlignment="1">
      <alignment horizontal="center" vertical="top" wrapText="1"/>
      <protection/>
    </xf>
    <xf numFmtId="4" fontId="5" fillId="0" borderId="10" xfId="81" applyNumberFormat="1" applyFont="1" applyBorder="1" applyAlignment="1">
      <alignment horizontal="center" vertical="top" wrapText="1"/>
      <protection/>
    </xf>
    <xf numFmtId="4" fontId="5" fillId="0" borderId="36" xfId="81" applyNumberFormat="1" applyFont="1" applyBorder="1" applyAlignment="1">
      <alignment horizontal="center" vertical="center" wrapText="1"/>
      <protection/>
    </xf>
    <xf numFmtId="4" fontId="5" fillId="0" borderId="39" xfId="81" applyNumberFormat="1" applyFont="1" applyBorder="1" applyAlignment="1">
      <alignment horizontal="center" vertical="center" wrapText="1"/>
      <protection/>
    </xf>
    <xf numFmtId="4" fontId="5" fillId="0" borderId="10" xfId="81" applyNumberFormat="1" applyFont="1" applyBorder="1" applyAlignment="1">
      <alignment horizontal="center" vertical="center" wrapText="1"/>
      <protection/>
    </xf>
    <xf numFmtId="4" fontId="5" fillId="0" borderId="33" xfId="81" applyNumberFormat="1" applyFont="1" applyBorder="1" applyAlignment="1">
      <alignment horizontal="center" vertical="center" wrapText="1"/>
      <protection/>
    </xf>
    <xf numFmtId="4" fontId="5" fillId="0" borderId="34" xfId="81" applyNumberFormat="1" applyFont="1" applyBorder="1" applyAlignment="1">
      <alignment horizontal="center" vertical="top" wrapText="1"/>
      <protection/>
    </xf>
    <xf numFmtId="4" fontId="5" fillId="0" borderId="34" xfId="81" applyNumberFormat="1" applyFont="1" applyBorder="1" applyAlignment="1">
      <alignment horizontal="center" vertical="center" wrapText="1"/>
      <protection/>
    </xf>
    <xf numFmtId="4" fontId="5" fillId="0" borderId="28" xfId="81" applyNumberFormat="1" applyFont="1" applyBorder="1" applyAlignment="1">
      <alignment horizontal="center" vertical="center" wrapText="1"/>
      <protection/>
    </xf>
    <xf numFmtId="0" fontId="16" fillId="0" borderId="37" xfId="81" applyFont="1" applyFill="1" applyBorder="1" applyAlignment="1">
      <alignment horizontal="left" wrapText="1"/>
      <protection/>
    </xf>
    <xf numFmtId="0" fontId="16" fillId="0" borderId="48" xfId="81" applyFont="1" applyFill="1" applyBorder="1" applyAlignment="1">
      <alignment horizontal="left" wrapText="1"/>
      <protection/>
    </xf>
    <xf numFmtId="0" fontId="21" fillId="36" borderId="15" xfId="81" applyFont="1" applyFill="1" applyBorder="1" applyAlignment="1">
      <alignment horizontal="left" wrapText="1"/>
      <protection/>
    </xf>
    <xf numFmtId="0" fontId="21" fillId="36" borderId="57" xfId="81" applyFont="1" applyFill="1" applyBorder="1" applyAlignment="1">
      <alignment horizontal="left" wrapText="1"/>
      <protection/>
    </xf>
    <xf numFmtId="0" fontId="10" fillId="0" borderId="20" xfId="81" applyFont="1" applyFill="1" applyBorder="1" applyAlignment="1">
      <alignment wrapText="1"/>
      <protection/>
    </xf>
    <xf numFmtId="0" fontId="10" fillId="0" borderId="0" xfId="81" applyFont="1" applyFill="1" applyBorder="1" applyAlignment="1">
      <alignment wrapText="1"/>
      <protection/>
    </xf>
    <xf numFmtId="0" fontId="3" fillId="0" borderId="0" xfId="81" applyFont="1" applyBorder="1" applyAlignment="1">
      <alignment wrapText="1"/>
      <protection/>
    </xf>
    <xf numFmtId="0" fontId="3" fillId="0" borderId="21" xfId="81" applyFont="1" applyBorder="1" applyAlignment="1">
      <alignment wrapText="1"/>
      <protection/>
    </xf>
    <xf numFmtId="0" fontId="3" fillId="0" borderId="20" xfId="81" applyFont="1" applyBorder="1" applyAlignment="1">
      <alignment wrapText="1"/>
      <protection/>
    </xf>
    <xf numFmtId="0" fontId="3" fillId="0" borderId="22" xfId="81" applyFont="1" applyBorder="1" applyAlignment="1">
      <alignment wrapText="1"/>
      <protection/>
    </xf>
    <xf numFmtId="0" fontId="3" fillId="0" borderId="23" xfId="81" applyFont="1" applyBorder="1" applyAlignment="1">
      <alignment wrapText="1"/>
      <protection/>
    </xf>
    <xf numFmtId="0" fontId="3" fillId="0" borderId="24" xfId="81" applyFont="1" applyBorder="1" applyAlignment="1">
      <alignment wrapText="1"/>
      <protection/>
    </xf>
    <xf numFmtId="0" fontId="12" fillId="33" borderId="35" xfId="81" applyFont="1" applyFill="1" applyBorder="1" applyAlignment="1">
      <alignment horizontal="center" vertical="center"/>
      <protection/>
    </xf>
    <xf numFmtId="0" fontId="12" fillId="33" borderId="25" xfId="81" applyFont="1" applyFill="1" applyBorder="1" applyAlignment="1">
      <alignment horizontal="center" vertical="center"/>
      <protection/>
    </xf>
    <xf numFmtId="0" fontId="12" fillId="33" borderId="38" xfId="81" applyFont="1" applyFill="1" applyBorder="1" applyAlignment="1">
      <alignment horizontal="center" vertical="center" wrapText="1"/>
      <protection/>
    </xf>
    <xf numFmtId="0" fontId="12" fillId="33" borderId="27" xfId="81" applyFont="1" applyFill="1" applyBorder="1" applyAlignment="1">
      <alignment horizontal="center" vertical="center" wrapText="1"/>
      <protection/>
    </xf>
    <xf numFmtId="0" fontId="12" fillId="33" borderId="35" xfId="81" applyFont="1" applyFill="1" applyBorder="1" applyAlignment="1">
      <alignment horizontal="center" vertical="center" wrapText="1"/>
      <protection/>
    </xf>
    <xf numFmtId="0" fontId="12" fillId="33" borderId="36" xfId="81" applyFont="1" applyFill="1" applyBorder="1" applyAlignment="1">
      <alignment horizontal="center" vertical="center" wrapText="1"/>
      <protection/>
    </xf>
    <xf numFmtId="4" fontId="21" fillId="38" borderId="33" xfId="81" applyNumberFormat="1" applyFont="1" applyFill="1" applyBorder="1" applyAlignment="1">
      <alignment horizontal="center" vertical="center"/>
      <protection/>
    </xf>
    <xf numFmtId="4" fontId="21" fillId="38" borderId="28" xfId="81" applyNumberFormat="1" applyFont="1" applyFill="1" applyBorder="1" applyAlignment="1">
      <alignment horizontal="center" vertical="center"/>
      <protection/>
    </xf>
    <xf numFmtId="4" fontId="21" fillId="38" borderId="25" xfId="81" applyNumberFormat="1" applyFont="1" applyFill="1" applyBorder="1" applyAlignment="1">
      <alignment horizontal="center" vertical="center"/>
      <protection/>
    </xf>
    <xf numFmtId="4" fontId="21" fillId="38" borderId="49" xfId="81" applyNumberFormat="1" applyFont="1" applyFill="1" applyBorder="1" applyAlignment="1">
      <alignment horizontal="center" vertical="center"/>
      <protection/>
    </xf>
    <xf numFmtId="0" fontId="21" fillId="0" borderId="26" xfId="81" applyFont="1" applyFill="1" applyBorder="1" applyAlignment="1">
      <alignment horizontal="left" wrapText="1"/>
      <protection/>
    </xf>
    <xf numFmtId="4" fontId="12" fillId="33" borderId="18" xfId="81" applyNumberFormat="1" applyFont="1" applyFill="1" applyBorder="1" applyAlignment="1">
      <alignment horizontal="center" vertical="center" wrapText="1"/>
      <protection/>
    </xf>
    <xf numFmtId="0" fontId="16" fillId="0" borderId="37" xfId="81" applyFont="1" applyFill="1" applyBorder="1" applyAlignment="1">
      <alignment horizontal="left"/>
      <protection/>
    </xf>
    <xf numFmtId="0" fontId="16" fillId="0" borderId="48" xfId="81" applyFont="1" applyFill="1" applyBorder="1" applyAlignment="1">
      <alignment horizontal="left"/>
      <protection/>
    </xf>
    <xf numFmtId="0" fontId="16" fillId="0" borderId="70" xfId="81" applyFont="1" applyFill="1" applyBorder="1" applyAlignment="1">
      <alignment horizontal="left"/>
      <protection/>
    </xf>
    <xf numFmtId="4" fontId="21" fillId="38" borderId="29" xfId="81" applyNumberFormat="1" applyFont="1" applyFill="1" applyBorder="1" applyAlignment="1">
      <alignment horizontal="right" vertical="center"/>
      <protection/>
    </xf>
    <xf numFmtId="4" fontId="21" fillId="38" borderId="61" xfId="81" applyNumberFormat="1" applyFont="1" applyFill="1" applyBorder="1" applyAlignment="1">
      <alignment horizontal="right" vertical="center"/>
      <protection/>
    </xf>
    <xf numFmtId="4" fontId="18" fillId="38" borderId="25" xfId="81" applyNumberFormat="1" applyFont="1" applyFill="1" applyBorder="1" applyAlignment="1">
      <alignment horizontal="center" vertical="top" wrapText="1"/>
      <protection/>
    </xf>
    <xf numFmtId="4" fontId="18" fillId="38" borderId="49" xfId="81" applyNumberFormat="1" applyFont="1" applyFill="1" applyBorder="1" applyAlignment="1">
      <alignment horizontal="center" vertical="top" wrapText="1"/>
      <protection/>
    </xf>
    <xf numFmtId="0" fontId="21" fillId="0" borderId="57" xfId="81" applyFont="1" applyBorder="1" applyAlignment="1">
      <alignment horizontal="center"/>
      <protection/>
    </xf>
    <xf numFmtId="0" fontId="21" fillId="0" borderId="71" xfId="81" applyFont="1" applyBorder="1" applyAlignment="1">
      <alignment horizontal="center"/>
      <protection/>
    </xf>
    <xf numFmtId="0" fontId="21" fillId="0" borderId="72" xfId="81" applyFont="1" applyBorder="1" applyAlignment="1">
      <alignment horizontal="center"/>
      <protection/>
    </xf>
    <xf numFmtId="0" fontId="21" fillId="38" borderId="10" xfId="81" applyFont="1" applyFill="1" applyBorder="1" applyAlignment="1">
      <alignment horizontal="left" wrapText="1"/>
      <protection/>
    </xf>
    <xf numFmtId="0" fontId="15" fillId="0" borderId="64" xfId="81" applyFont="1" applyFill="1" applyBorder="1" applyAlignment="1">
      <alignment horizontal="center" vertical="justify" wrapText="1"/>
      <protection/>
    </xf>
    <xf numFmtId="0" fontId="15" fillId="0" borderId="59" xfId="81" applyFont="1" applyFill="1" applyBorder="1" applyAlignment="1">
      <alignment horizontal="center" vertical="justify" wrapText="1"/>
      <protection/>
    </xf>
    <xf numFmtId="0" fontId="15" fillId="0" borderId="30" xfId="81" applyFont="1" applyFill="1" applyBorder="1" applyAlignment="1">
      <alignment horizontal="center" vertical="justify" wrapText="1"/>
      <protection/>
    </xf>
    <xf numFmtId="0" fontId="15" fillId="0" borderId="66" xfId="81" applyFont="1" applyFill="1" applyBorder="1" applyAlignment="1">
      <alignment horizontal="center" vertical="justify" wrapText="1"/>
      <protection/>
    </xf>
    <xf numFmtId="0" fontId="15" fillId="0" borderId="65" xfId="81" applyFont="1" applyFill="1" applyBorder="1" applyAlignment="1">
      <alignment horizontal="center" vertical="justify" wrapText="1"/>
      <protection/>
    </xf>
    <xf numFmtId="0" fontId="15" fillId="0" borderId="60" xfId="81" applyFont="1" applyFill="1" applyBorder="1" applyAlignment="1">
      <alignment horizontal="center" vertical="justify" wrapText="1"/>
      <protection/>
    </xf>
    <xf numFmtId="0" fontId="24" fillId="38" borderId="26" xfId="82" applyFont="1" applyFill="1" applyBorder="1" applyAlignment="1">
      <alignment horizontal="center" vertical="center"/>
      <protection/>
    </xf>
    <xf numFmtId="0" fontId="3" fillId="0" borderId="50" xfId="81" applyBorder="1" applyAlignment="1">
      <alignment horizontal="center" vertical="center"/>
      <protection/>
    </xf>
    <xf numFmtId="0" fontId="9" fillId="38" borderId="27" xfId="82" applyFont="1" applyFill="1" applyBorder="1" applyAlignment="1">
      <alignment horizontal="center"/>
      <protection/>
    </xf>
    <xf numFmtId="0" fontId="3" fillId="0" borderId="30" xfId="81" applyBorder="1">
      <alignment/>
      <protection/>
    </xf>
    <xf numFmtId="0" fontId="3" fillId="0" borderId="73" xfId="81" applyBorder="1">
      <alignment/>
      <protection/>
    </xf>
    <xf numFmtId="0" fontId="3" fillId="0" borderId="60" xfId="81" applyBorder="1">
      <alignment/>
      <protection/>
    </xf>
    <xf numFmtId="4" fontId="21" fillId="38" borderId="10" xfId="81" applyNumberFormat="1" applyFont="1" applyFill="1" applyBorder="1" applyAlignment="1">
      <alignment horizontal="center"/>
      <protection/>
    </xf>
    <xf numFmtId="4" fontId="21" fillId="38" borderId="44" xfId="81" applyNumberFormat="1" applyFont="1" applyFill="1" applyBorder="1" applyAlignment="1">
      <alignment horizontal="center"/>
      <protection/>
    </xf>
    <xf numFmtId="4" fontId="21" fillId="38" borderId="34" xfId="81" applyNumberFormat="1" applyFont="1" applyFill="1" applyBorder="1" applyAlignment="1">
      <alignment horizontal="center"/>
      <protection/>
    </xf>
    <xf numFmtId="4" fontId="21" fillId="38" borderId="31" xfId="81" applyNumberFormat="1" applyFont="1" applyFill="1" applyBorder="1" applyAlignment="1">
      <alignment horizontal="center"/>
      <protection/>
    </xf>
    <xf numFmtId="4" fontId="21" fillId="0" borderId="44" xfId="81" applyNumberFormat="1" applyFont="1" applyBorder="1" applyAlignment="1">
      <alignment horizontal="right"/>
      <protection/>
    </xf>
    <xf numFmtId="4" fontId="21" fillId="0" borderId="48" xfId="81" applyNumberFormat="1" applyFont="1" applyBorder="1" applyAlignment="1">
      <alignment horizontal="right"/>
      <protection/>
    </xf>
    <xf numFmtId="4" fontId="21" fillId="0" borderId="70" xfId="81" applyNumberFormat="1" applyFont="1" applyBorder="1" applyAlignment="1">
      <alignment horizontal="right"/>
      <protection/>
    </xf>
    <xf numFmtId="0" fontId="21" fillId="0" borderId="52" xfId="81" applyFont="1" applyBorder="1" applyAlignment="1">
      <alignment horizontal="left" wrapText="1"/>
      <protection/>
    </xf>
    <xf numFmtId="0" fontId="21" fillId="0" borderId="34" xfId="81" applyFont="1" applyBorder="1" applyAlignment="1">
      <alignment horizontal="left" wrapText="1"/>
      <protection/>
    </xf>
    <xf numFmtId="0" fontId="21" fillId="0" borderId="35" xfId="81" applyFont="1" applyBorder="1" applyAlignment="1">
      <alignment horizontal="left" wrapText="1"/>
      <protection/>
    </xf>
    <xf numFmtId="0" fontId="21" fillId="0" borderId="36" xfId="81" applyFont="1" applyBorder="1" applyAlignment="1">
      <alignment horizontal="left" wrapText="1"/>
      <protection/>
    </xf>
    <xf numFmtId="4" fontId="21" fillId="0" borderId="38" xfId="81" applyNumberFormat="1" applyFont="1" applyBorder="1" applyAlignment="1">
      <alignment horizontal="right"/>
      <protection/>
    </xf>
    <xf numFmtId="4" fontId="21" fillId="0" borderId="58" xfId="81" applyNumberFormat="1" applyFont="1" applyBorder="1" applyAlignment="1">
      <alignment horizontal="right"/>
      <protection/>
    </xf>
    <xf numFmtId="4" fontId="21" fillId="0" borderId="74" xfId="81" applyNumberFormat="1" applyFont="1" applyBorder="1" applyAlignment="1">
      <alignment horizontal="right"/>
      <protection/>
    </xf>
    <xf numFmtId="4" fontId="21" fillId="38" borderId="30" xfId="81" applyNumberFormat="1" applyFont="1" applyFill="1" applyBorder="1" applyAlignment="1">
      <alignment horizontal="center" vertical="center"/>
      <protection/>
    </xf>
    <xf numFmtId="4" fontId="21" fillId="38" borderId="60" xfId="81" applyNumberFormat="1" applyFont="1" applyFill="1" applyBorder="1" applyAlignment="1">
      <alignment horizontal="center" vertical="center"/>
      <protection/>
    </xf>
    <xf numFmtId="4" fontId="21" fillId="0" borderId="31" xfId="81" applyNumberFormat="1" applyFont="1" applyBorder="1" applyAlignment="1">
      <alignment horizontal="right"/>
      <protection/>
    </xf>
    <xf numFmtId="4" fontId="21" fillId="0" borderId="54" xfId="81" applyNumberFormat="1" applyFont="1" applyBorder="1" applyAlignment="1">
      <alignment horizontal="right"/>
      <protection/>
    </xf>
    <xf numFmtId="4" fontId="21" fillId="0" borderId="75" xfId="81" applyNumberFormat="1" applyFont="1" applyBorder="1" applyAlignment="1">
      <alignment horizontal="right"/>
      <protection/>
    </xf>
    <xf numFmtId="0" fontId="20" fillId="0" borderId="20" xfId="81" applyFont="1" applyBorder="1" applyAlignment="1">
      <alignment horizontal="left"/>
      <protection/>
    </xf>
    <xf numFmtId="0" fontId="20" fillId="0" borderId="0" xfId="81" applyFont="1" applyBorder="1" applyAlignment="1">
      <alignment horizontal="left"/>
      <protection/>
    </xf>
    <xf numFmtId="0" fontId="15" fillId="0" borderId="20" xfId="81" applyFont="1" applyBorder="1" applyAlignment="1">
      <alignment horizontal="left"/>
      <protection/>
    </xf>
    <xf numFmtId="0" fontId="15" fillId="0" borderId="0" xfId="81" applyFont="1" applyBorder="1" applyAlignment="1">
      <alignment horizontal="left"/>
      <protection/>
    </xf>
    <xf numFmtId="0" fontId="21" fillId="0" borderId="32" xfId="81" applyFont="1" applyBorder="1" applyAlignment="1">
      <alignment horizontal="left" wrapText="1"/>
      <protection/>
    </xf>
    <xf numFmtId="0" fontId="21" fillId="0" borderId="10" xfId="81" applyFont="1" applyBorder="1" applyAlignment="1">
      <alignment horizontal="left" wrapText="1"/>
      <protection/>
    </xf>
    <xf numFmtId="4" fontId="21" fillId="0" borderId="10" xfId="81" applyNumberFormat="1" applyFont="1" applyBorder="1" applyAlignment="1">
      <alignment horizontal="left"/>
      <protection/>
    </xf>
    <xf numFmtId="4" fontId="21" fillId="0" borderId="44" xfId="81" applyNumberFormat="1" applyFont="1" applyBorder="1" applyAlignment="1">
      <alignment horizontal="left"/>
      <protection/>
    </xf>
    <xf numFmtId="4" fontId="21" fillId="0" borderId="33" xfId="81" applyNumberFormat="1" applyFont="1" applyBorder="1" applyAlignment="1">
      <alignment horizontal="left"/>
      <protection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1" xfId="48"/>
    <cellStyle name="Millares 11 10" xfId="49"/>
    <cellStyle name="Millares 11 11" xfId="50"/>
    <cellStyle name="Millares 11 12" xfId="51"/>
    <cellStyle name="Millares 11 13" xfId="52"/>
    <cellStyle name="Millares 11 14" xfId="53"/>
    <cellStyle name="Millares 11 15" xfId="54"/>
    <cellStyle name="Millares 11 16" xfId="55"/>
    <cellStyle name="Millares 11 17" xfId="56"/>
    <cellStyle name="Millares 11 18" xfId="57"/>
    <cellStyle name="Millares 11 19" xfId="58"/>
    <cellStyle name="Millares 11 2" xfId="59"/>
    <cellStyle name="Millares 11 20" xfId="60"/>
    <cellStyle name="Millares 11 21" xfId="61"/>
    <cellStyle name="Millares 11 22" xfId="62"/>
    <cellStyle name="Millares 11 23" xfId="63"/>
    <cellStyle name="Millares 11 24" xfId="64"/>
    <cellStyle name="Millares 11 25" xfId="65"/>
    <cellStyle name="Millares 11 3" xfId="66"/>
    <cellStyle name="Millares 11 4" xfId="67"/>
    <cellStyle name="Millares 11 5" xfId="68"/>
    <cellStyle name="Millares 11 6" xfId="69"/>
    <cellStyle name="Millares 11 7" xfId="70"/>
    <cellStyle name="Millares 11 8" xfId="71"/>
    <cellStyle name="Millares 11 9" xfId="72"/>
    <cellStyle name="Millares 2" xfId="73"/>
    <cellStyle name="Millares 2 4" xfId="74"/>
    <cellStyle name="Millares 3" xfId="75"/>
    <cellStyle name="Currency" xfId="76"/>
    <cellStyle name="Currency [0]" xfId="77"/>
    <cellStyle name="Moneda 10" xfId="78"/>
    <cellStyle name="Moneda 2" xfId="79"/>
    <cellStyle name="Neutral" xfId="80"/>
    <cellStyle name="Normal 2" xfId="81"/>
    <cellStyle name="Normal 3" xfId="82"/>
    <cellStyle name="Notas" xfId="83"/>
    <cellStyle name="Porcentaje 2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3</xdr:row>
      <xdr:rowOff>0</xdr:rowOff>
    </xdr:from>
    <xdr:ext cx="0" cy="28575"/>
    <xdr:sp>
      <xdr:nvSpPr>
        <xdr:cNvPr id="1" name="Text Box 10"/>
        <xdr:cNvSpPr txBox="1">
          <a:spLocks noChangeArrowheads="1"/>
        </xdr:cNvSpPr>
      </xdr:nvSpPr>
      <xdr:spPr>
        <a:xfrm>
          <a:off x="11544300" y="485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0" cy="28575"/>
    <xdr:sp>
      <xdr:nvSpPr>
        <xdr:cNvPr id="2" name="Text Box 1"/>
        <xdr:cNvSpPr txBox="1">
          <a:spLocks noChangeArrowheads="1"/>
        </xdr:cNvSpPr>
      </xdr:nvSpPr>
      <xdr:spPr>
        <a:xfrm>
          <a:off x="11544300" y="485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219075</xdr:colOff>
      <xdr:row>3</xdr:row>
      <xdr:rowOff>0</xdr:rowOff>
    </xdr:from>
    <xdr:ext cx="9525" cy="28575"/>
    <xdr:sp>
      <xdr:nvSpPr>
        <xdr:cNvPr id="3" name="Text Box 10"/>
        <xdr:cNvSpPr txBox="1">
          <a:spLocks noChangeArrowheads="1"/>
        </xdr:cNvSpPr>
      </xdr:nvSpPr>
      <xdr:spPr>
        <a:xfrm>
          <a:off x="9382125" y="485775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219075</xdr:colOff>
      <xdr:row>3</xdr:row>
      <xdr:rowOff>0</xdr:rowOff>
    </xdr:from>
    <xdr:ext cx="9525" cy="28575"/>
    <xdr:sp>
      <xdr:nvSpPr>
        <xdr:cNvPr id="4" name="Text Box 1"/>
        <xdr:cNvSpPr txBox="1">
          <a:spLocks noChangeArrowheads="1"/>
        </xdr:cNvSpPr>
      </xdr:nvSpPr>
      <xdr:spPr>
        <a:xfrm>
          <a:off x="9382125" y="485775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D431"/>
  <sheetViews>
    <sheetView zoomScale="85" zoomScaleNormal="85" zoomScalePageLayoutView="0" workbookViewId="0" topLeftCell="A210">
      <selection activeCell="F221" sqref="F221"/>
    </sheetView>
  </sheetViews>
  <sheetFormatPr defaultColWidth="11.421875" defaultRowHeight="15"/>
  <cols>
    <col min="1" max="1" width="3.28125" style="38" customWidth="1"/>
    <col min="2" max="2" width="5.00390625" style="38" customWidth="1"/>
    <col min="3" max="3" width="4.7109375" style="559" customWidth="1"/>
    <col min="4" max="4" width="39.00390625" style="559" customWidth="1"/>
    <col min="5" max="5" width="6.421875" style="559" customWidth="1"/>
    <col min="6" max="6" width="7.140625" style="559" customWidth="1"/>
    <col min="7" max="7" width="6.8515625" style="560" customWidth="1"/>
    <col min="8" max="8" width="13.8515625" style="559" customWidth="1"/>
    <col min="9" max="9" width="6.00390625" style="560" customWidth="1"/>
    <col min="10" max="10" width="15.00390625" style="560" customWidth="1"/>
    <col min="11" max="11" width="9.421875" style="560" hidden="1" customWidth="1"/>
    <col min="12" max="12" width="12.8515625" style="560" hidden="1" customWidth="1"/>
    <col min="13" max="13" width="8.57421875" style="560" hidden="1" customWidth="1"/>
    <col min="14" max="14" width="15.140625" style="560" hidden="1" customWidth="1"/>
    <col min="15" max="15" width="8.00390625" style="560" hidden="1" customWidth="1"/>
    <col min="16" max="16" width="7.140625" style="561" hidden="1" customWidth="1"/>
    <col min="17" max="17" width="15.421875" style="560" hidden="1" customWidth="1"/>
    <col min="18" max="18" width="10.140625" style="560" customWidth="1"/>
    <col min="19" max="19" width="13.140625" style="560" customWidth="1"/>
    <col min="20" max="20" width="6.8515625" style="561" customWidth="1"/>
    <col min="21" max="21" width="0" style="561" hidden="1" customWidth="1"/>
    <col min="22" max="22" width="14.7109375" style="560" customWidth="1"/>
    <col min="23" max="23" width="6.140625" style="561" customWidth="1"/>
    <col min="24" max="24" width="14.8515625" style="561" customWidth="1"/>
    <col min="25" max="25" width="13.140625" style="38" customWidth="1"/>
    <col min="26" max="26" width="16.8515625" style="39" customWidth="1"/>
    <col min="27" max="27" width="15.00390625" style="39" customWidth="1"/>
    <col min="28" max="28" width="14.8515625" style="39" customWidth="1"/>
    <col min="29" max="29" width="14.140625" style="39" customWidth="1"/>
    <col min="30" max="16384" width="11.421875" style="39" customWidth="1"/>
  </cols>
  <sheetData>
    <row r="1" spans="1:24" ht="12.75" customHeight="1">
      <c r="A1" s="616" t="s">
        <v>265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22" t="s">
        <v>266</v>
      </c>
      <c r="R1" s="622"/>
      <c r="S1" s="622"/>
      <c r="T1" s="622"/>
      <c r="U1" s="622"/>
      <c r="V1" s="624" t="s">
        <v>267</v>
      </c>
      <c r="W1" s="624"/>
      <c r="X1" s="625"/>
    </row>
    <row r="2" spans="1:24" ht="12.75">
      <c r="A2" s="618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23"/>
      <c r="R2" s="623"/>
      <c r="S2" s="623"/>
      <c r="T2" s="623"/>
      <c r="U2" s="623"/>
      <c r="V2" s="626"/>
      <c r="W2" s="626"/>
      <c r="X2" s="627"/>
    </row>
    <row r="3" spans="1:24" ht="12.75" customHeight="1">
      <c r="A3" s="618"/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23" t="s">
        <v>268</v>
      </c>
      <c r="R3" s="623"/>
      <c r="S3" s="623"/>
      <c r="T3" s="623"/>
      <c r="U3" s="623"/>
      <c r="V3" s="626" t="s">
        <v>269</v>
      </c>
      <c r="W3" s="626"/>
      <c r="X3" s="627"/>
    </row>
    <row r="4" spans="1:24" ht="11.25" customHeight="1" thickBot="1">
      <c r="A4" s="620"/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8"/>
      <c r="R4" s="628"/>
      <c r="S4" s="628"/>
      <c r="T4" s="628"/>
      <c r="U4" s="628"/>
      <c r="V4" s="629"/>
      <c r="W4" s="629"/>
      <c r="X4" s="630"/>
    </row>
    <row r="5" spans="1:24" ht="12.75">
      <c r="A5" s="40" t="s">
        <v>270</v>
      </c>
      <c r="B5" s="41"/>
      <c r="C5" s="42"/>
      <c r="D5" s="43"/>
      <c r="E5" s="43"/>
      <c r="F5" s="43"/>
      <c r="G5" s="44"/>
      <c r="H5" s="45"/>
      <c r="I5" s="46"/>
      <c r="J5" s="46"/>
      <c r="K5" s="46"/>
      <c r="L5" s="46"/>
      <c r="M5" s="46"/>
      <c r="N5" s="46"/>
      <c r="O5" s="46"/>
      <c r="P5" s="47"/>
      <c r="Q5" s="46"/>
      <c r="R5" s="46"/>
      <c r="S5" s="46"/>
      <c r="T5" s="47"/>
      <c r="U5" s="47"/>
      <c r="V5" s="46"/>
      <c r="W5" s="47"/>
      <c r="X5" s="48"/>
    </row>
    <row r="6" spans="1:24" ht="12.75">
      <c r="A6" s="49" t="s">
        <v>271</v>
      </c>
      <c r="B6" s="50"/>
      <c r="C6" s="51"/>
      <c r="D6" s="52"/>
      <c r="E6" s="52"/>
      <c r="F6" s="52"/>
      <c r="G6" s="53"/>
      <c r="H6" s="54"/>
      <c r="I6" s="55"/>
      <c r="J6" s="55"/>
      <c r="K6" s="55"/>
      <c r="L6" s="55"/>
      <c r="M6" s="55"/>
      <c r="N6" s="55"/>
      <c r="O6" s="55"/>
      <c r="P6" s="56"/>
      <c r="Q6" s="55"/>
      <c r="R6" s="55"/>
      <c r="S6" s="55"/>
      <c r="T6" s="56"/>
      <c r="U6" s="56"/>
      <c r="V6" s="55"/>
      <c r="W6" s="56"/>
      <c r="X6" s="57"/>
    </row>
    <row r="7" spans="1:24" ht="12.75">
      <c r="A7" s="49" t="s">
        <v>272</v>
      </c>
      <c r="B7" s="50"/>
      <c r="C7" s="51"/>
      <c r="D7" s="52"/>
      <c r="E7" s="614" t="s">
        <v>273</v>
      </c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5"/>
    </row>
    <row r="8" spans="1:24" ht="5.25" customHeight="1">
      <c r="A8" s="58"/>
      <c r="B8" s="59"/>
      <c r="C8" s="60"/>
      <c r="D8" s="61"/>
      <c r="E8" s="61"/>
      <c r="F8" s="61"/>
      <c r="G8" s="62"/>
      <c r="H8" s="63"/>
      <c r="I8" s="64"/>
      <c r="J8" s="64"/>
      <c r="K8" s="64"/>
      <c r="L8" s="64"/>
      <c r="M8" s="64"/>
      <c r="N8" s="64"/>
      <c r="O8" s="64"/>
      <c r="P8" s="65"/>
      <c r="Q8" s="64"/>
      <c r="R8" s="64"/>
      <c r="S8" s="64"/>
      <c r="T8" s="65"/>
      <c r="U8" s="65"/>
      <c r="V8" s="64"/>
      <c r="W8" s="65"/>
      <c r="X8" s="66"/>
    </row>
    <row r="9" spans="1:25" s="68" customFormat="1" ht="12.75">
      <c r="A9" s="49" t="s">
        <v>274</v>
      </c>
      <c r="B9" s="50"/>
      <c r="C9" s="51"/>
      <c r="D9" s="52" t="s">
        <v>275</v>
      </c>
      <c r="E9" s="52"/>
      <c r="F9" s="52"/>
      <c r="G9" s="53"/>
      <c r="H9" s="54"/>
      <c r="I9" s="55"/>
      <c r="J9" s="55"/>
      <c r="K9" s="55"/>
      <c r="L9" s="55"/>
      <c r="M9" s="55"/>
      <c r="N9" s="55"/>
      <c r="O9" s="55"/>
      <c r="P9" s="56"/>
      <c r="Q9" s="55"/>
      <c r="R9" s="55"/>
      <c r="S9" s="55"/>
      <c r="T9" s="56"/>
      <c r="U9" s="56"/>
      <c r="V9" s="55"/>
      <c r="W9" s="56"/>
      <c r="X9" s="57"/>
      <c r="Y9" s="67"/>
    </row>
    <row r="10" spans="1:25" s="68" customFormat="1" ht="12.75">
      <c r="A10" s="49" t="s">
        <v>276</v>
      </c>
      <c r="B10" s="50"/>
      <c r="C10" s="51"/>
      <c r="D10" s="52" t="s">
        <v>277</v>
      </c>
      <c r="E10" s="69"/>
      <c r="F10" s="52"/>
      <c r="G10" s="53"/>
      <c r="H10" s="54"/>
      <c r="I10" s="55"/>
      <c r="J10" s="55"/>
      <c r="K10" s="55"/>
      <c r="L10" s="55"/>
      <c r="M10" s="55"/>
      <c r="N10" s="55"/>
      <c r="O10" s="55"/>
      <c r="P10" s="56"/>
      <c r="Q10" s="55"/>
      <c r="R10" s="55"/>
      <c r="S10" s="55"/>
      <c r="T10" s="56"/>
      <c r="U10" s="56"/>
      <c r="V10" s="55"/>
      <c r="W10" s="56"/>
      <c r="X10" s="57"/>
      <c r="Y10" s="67"/>
    </row>
    <row r="11" spans="1:24" ht="12.75">
      <c r="A11" s="49" t="s">
        <v>278</v>
      </c>
      <c r="B11" s="50"/>
      <c r="C11" s="51"/>
      <c r="D11" s="52"/>
      <c r="E11" s="69"/>
      <c r="F11" s="52"/>
      <c r="G11" s="53"/>
      <c r="H11" s="54"/>
      <c r="I11" s="55"/>
      <c r="J11" s="55"/>
      <c r="K11" s="55"/>
      <c r="L11" s="55"/>
      <c r="M11" s="55"/>
      <c r="N11" s="55"/>
      <c r="O11" s="55"/>
      <c r="P11" s="56"/>
      <c r="Q11" s="55"/>
      <c r="R11" s="55"/>
      <c r="S11" s="55"/>
      <c r="T11" s="56"/>
      <c r="U11" s="56"/>
      <c r="V11" s="55"/>
      <c r="W11" s="56"/>
      <c r="X11" s="57"/>
    </row>
    <row r="12" spans="1:24" ht="4.5" customHeight="1">
      <c r="A12" s="635" t="s">
        <v>279</v>
      </c>
      <c r="B12" s="636"/>
      <c r="C12" s="636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7"/>
      <c r="U12" s="637"/>
      <c r="V12" s="637"/>
      <c r="W12" s="637"/>
      <c r="X12" s="638"/>
    </row>
    <row r="13" spans="1:24" ht="12.75">
      <c r="A13" s="639"/>
      <c r="B13" s="637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8"/>
    </row>
    <row r="14" spans="1:24" ht="9.75" customHeight="1" thickBot="1">
      <c r="A14" s="640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2"/>
    </row>
    <row r="15" spans="1:24" s="71" customFormat="1" ht="19.5" customHeight="1">
      <c r="A15" s="643" t="s">
        <v>280</v>
      </c>
      <c r="B15" s="643" t="s">
        <v>281</v>
      </c>
      <c r="C15" s="643" t="s">
        <v>282</v>
      </c>
      <c r="D15" s="645" t="s">
        <v>283</v>
      </c>
      <c r="E15" s="647" t="s">
        <v>284</v>
      </c>
      <c r="F15" s="648"/>
      <c r="G15" s="648"/>
      <c r="H15" s="645"/>
      <c r="I15" s="612" t="s">
        <v>285</v>
      </c>
      <c r="J15" s="613"/>
      <c r="K15" s="612" t="s">
        <v>286</v>
      </c>
      <c r="L15" s="613"/>
      <c r="M15" s="612" t="s">
        <v>287</v>
      </c>
      <c r="N15" s="613"/>
      <c r="O15" s="70"/>
      <c r="P15" s="612" t="s">
        <v>288</v>
      </c>
      <c r="Q15" s="613"/>
      <c r="R15" s="612" t="s">
        <v>289</v>
      </c>
      <c r="S15" s="613"/>
      <c r="T15" s="612" t="s">
        <v>290</v>
      </c>
      <c r="U15" s="654"/>
      <c r="V15" s="613"/>
      <c r="W15" s="612" t="s">
        <v>291</v>
      </c>
      <c r="X15" s="613"/>
    </row>
    <row r="16" spans="1:24" s="87" customFormat="1" ht="20.25" customHeight="1" thickBot="1">
      <c r="A16" s="644"/>
      <c r="B16" s="644"/>
      <c r="C16" s="644"/>
      <c r="D16" s="646"/>
      <c r="E16" s="72" t="s">
        <v>2</v>
      </c>
      <c r="F16" s="73" t="s">
        <v>292</v>
      </c>
      <c r="G16" s="74" t="s">
        <v>293</v>
      </c>
      <c r="H16" s="75" t="s">
        <v>294</v>
      </c>
      <c r="I16" s="76" t="s">
        <v>293</v>
      </c>
      <c r="J16" s="77" t="s">
        <v>294</v>
      </c>
      <c r="K16" s="78" t="s">
        <v>293</v>
      </c>
      <c r="L16" s="79" t="s">
        <v>295</v>
      </c>
      <c r="M16" s="80" t="s">
        <v>293</v>
      </c>
      <c r="N16" s="77" t="s">
        <v>295</v>
      </c>
      <c r="O16" s="81"/>
      <c r="P16" s="78" t="s">
        <v>293</v>
      </c>
      <c r="Q16" s="82" t="s">
        <v>295</v>
      </c>
      <c r="R16" s="83" t="s">
        <v>293</v>
      </c>
      <c r="S16" s="84" t="s">
        <v>295</v>
      </c>
      <c r="T16" s="80" t="s">
        <v>293</v>
      </c>
      <c r="U16" s="85"/>
      <c r="V16" s="77" t="s">
        <v>294</v>
      </c>
      <c r="W16" s="78" t="s">
        <v>293</v>
      </c>
      <c r="X16" s="86" t="s">
        <v>294</v>
      </c>
    </row>
    <row r="17" spans="1:24" s="87" customFormat="1" ht="13.5" customHeight="1">
      <c r="A17" s="88">
        <v>1</v>
      </c>
      <c r="B17" s="89"/>
      <c r="C17" s="90"/>
      <c r="D17" s="91" t="s">
        <v>296</v>
      </c>
      <c r="E17" s="92"/>
      <c r="F17" s="93"/>
      <c r="G17" s="94"/>
      <c r="H17" s="95"/>
      <c r="I17" s="96"/>
      <c r="J17" s="97"/>
      <c r="K17" s="98"/>
      <c r="L17" s="97"/>
      <c r="M17" s="98"/>
      <c r="N17" s="99"/>
      <c r="O17" s="100"/>
      <c r="P17" s="101"/>
      <c r="Q17" s="102"/>
      <c r="R17" s="103"/>
      <c r="S17" s="104"/>
      <c r="T17" s="101"/>
      <c r="U17" s="105"/>
      <c r="V17" s="106"/>
      <c r="W17" s="107"/>
      <c r="X17" s="108"/>
    </row>
    <row r="18" spans="1:27" s="87" customFormat="1" ht="13.5" customHeight="1">
      <c r="A18" s="109"/>
      <c r="B18" s="110"/>
      <c r="C18" s="111" t="s">
        <v>6</v>
      </c>
      <c r="D18" s="112" t="s">
        <v>7</v>
      </c>
      <c r="E18" s="113" t="s">
        <v>2</v>
      </c>
      <c r="F18" s="114">
        <v>651922</v>
      </c>
      <c r="G18" s="115">
        <v>4</v>
      </c>
      <c r="H18" s="116">
        <f>F18*G18</f>
        <v>2607688</v>
      </c>
      <c r="I18" s="117">
        <v>4</v>
      </c>
      <c r="J18" s="99">
        <f>+I18*F18</f>
        <v>2607688</v>
      </c>
      <c r="K18" s="118"/>
      <c r="L18" s="99">
        <f aca="true" t="shared" si="0" ref="L18:L30">+K18*F18</f>
        <v>0</v>
      </c>
      <c r="M18" s="118">
        <v>4</v>
      </c>
      <c r="N18" s="99">
        <f>+M18*F18</f>
        <v>2607688</v>
      </c>
      <c r="O18" s="100">
        <f>+I18-K18-M18</f>
        <v>0</v>
      </c>
      <c r="P18" s="119">
        <f>+I18-K18-M18</f>
        <v>0</v>
      </c>
      <c r="Q18" s="120">
        <f>+P18*F18</f>
        <v>0</v>
      </c>
      <c r="R18" s="103">
        <f>+I18-K18-M18-P18</f>
        <v>0</v>
      </c>
      <c r="S18" s="104">
        <f>+R18*F18</f>
        <v>0</v>
      </c>
      <c r="T18" s="119">
        <f>+K18+M18+O18+R18</f>
        <v>4</v>
      </c>
      <c r="U18" s="121"/>
      <c r="V18" s="122">
        <f>+T18*F18</f>
        <v>2607688</v>
      </c>
      <c r="W18" s="123">
        <f>+I18-T18</f>
        <v>0</v>
      </c>
      <c r="X18" s="124">
        <f>+W18*F18</f>
        <v>0</v>
      </c>
      <c r="Y18" s="125">
        <f>+J18-V18</f>
        <v>0</v>
      </c>
      <c r="Z18" s="126">
        <f>+X18-Y18</f>
        <v>0</v>
      </c>
      <c r="AA18" s="126">
        <f>+Q18</f>
        <v>0</v>
      </c>
    </row>
    <row r="19" spans="1:27" s="87" customFormat="1" ht="13.5" customHeight="1">
      <c r="A19" s="109"/>
      <c r="B19" s="110"/>
      <c r="C19" s="111" t="s">
        <v>8</v>
      </c>
      <c r="D19" s="112" t="s">
        <v>9</v>
      </c>
      <c r="E19" s="113" t="s">
        <v>2</v>
      </c>
      <c r="F19" s="114">
        <v>492674</v>
      </c>
      <c r="G19" s="115">
        <v>2</v>
      </c>
      <c r="H19" s="116">
        <f>F19*G19</f>
        <v>985348</v>
      </c>
      <c r="I19" s="117">
        <v>2</v>
      </c>
      <c r="J19" s="99">
        <f aca="true" t="shared" si="1" ref="J19:J30">+I19*F19</f>
        <v>985348</v>
      </c>
      <c r="K19" s="118"/>
      <c r="L19" s="99">
        <f t="shared" si="0"/>
        <v>0</v>
      </c>
      <c r="M19" s="118">
        <v>2</v>
      </c>
      <c r="N19" s="99">
        <f aca="true" t="shared" si="2" ref="N19:N30">+M19*F19</f>
        <v>985348</v>
      </c>
      <c r="O19" s="100">
        <f aca="true" t="shared" si="3" ref="O19:O82">+I19-K19-M19</f>
        <v>0</v>
      </c>
      <c r="P19" s="119">
        <f aca="true" t="shared" si="4" ref="P19:P29">+I19-K19-M19</f>
        <v>0</v>
      </c>
      <c r="Q19" s="120">
        <f aca="true" t="shared" si="5" ref="Q19:Q30">+P19*F19</f>
        <v>0</v>
      </c>
      <c r="R19" s="103">
        <f aca="true" t="shared" si="6" ref="R19:R30">+I19-K19-M19-P19</f>
        <v>0</v>
      </c>
      <c r="S19" s="104">
        <f aca="true" t="shared" si="7" ref="S19:S30">+R19*F19</f>
        <v>0</v>
      </c>
      <c r="T19" s="119">
        <f aca="true" t="shared" si="8" ref="T19:T30">+K19+M19+O19+R19</f>
        <v>2</v>
      </c>
      <c r="U19" s="121"/>
      <c r="V19" s="122">
        <f aca="true" t="shared" si="9" ref="V19:V29">+T19*F19</f>
        <v>985348</v>
      </c>
      <c r="W19" s="123">
        <f aca="true" t="shared" si="10" ref="W19:W29">+I19-T19</f>
        <v>0</v>
      </c>
      <c r="X19" s="124">
        <f aca="true" t="shared" si="11" ref="X19:X79">+W19*F19</f>
        <v>0</v>
      </c>
      <c r="Y19" s="125">
        <f aca="true" t="shared" si="12" ref="Y19:Y82">+J19-V19</f>
        <v>0</v>
      </c>
      <c r="Z19" s="126">
        <f aca="true" t="shared" si="13" ref="Z19:Z82">+X19-Y19</f>
        <v>0</v>
      </c>
      <c r="AA19" s="126">
        <f aca="true" t="shared" si="14" ref="AA19:AA82">+Q19</f>
        <v>0</v>
      </c>
    </row>
    <row r="20" spans="1:27" s="87" customFormat="1" ht="13.5" customHeight="1">
      <c r="A20" s="109"/>
      <c r="B20" s="110"/>
      <c r="C20" s="111" t="s">
        <v>10</v>
      </c>
      <c r="D20" s="112" t="s">
        <v>11</v>
      </c>
      <c r="E20" s="113" t="s">
        <v>2</v>
      </c>
      <c r="F20" s="114">
        <v>646945</v>
      </c>
      <c r="G20" s="115">
        <v>1</v>
      </c>
      <c r="H20" s="116">
        <f>F20*G20</f>
        <v>646945</v>
      </c>
      <c r="I20" s="117">
        <v>1</v>
      </c>
      <c r="J20" s="99">
        <f t="shared" si="1"/>
        <v>646945</v>
      </c>
      <c r="K20" s="118"/>
      <c r="L20" s="99">
        <f t="shared" si="0"/>
        <v>0</v>
      </c>
      <c r="M20" s="118">
        <v>1</v>
      </c>
      <c r="N20" s="99">
        <f t="shared" si="2"/>
        <v>646945</v>
      </c>
      <c r="O20" s="100">
        <f t="shared" si="3"/>
        <v>0</v>
      </c>
      <c r="P20" s="119">
        <f t="shared" si="4"/>
        <v>0</v>
      </c>
      <c r="Q20" s="120">
        <f t="shared" si="5"/>
        <v>0</v>
      </c>
      <c r="R20" s="103">
        <f t="shared" si="6"/>
        <v>0</v>
      </c>
      <c r="S20" s="104">
        <f t="shared" si="7"/>
        <v>0</v>
      </c>
      <c r="T20" s="119">
        <f t="shared" si="8"/>
        <v>1</v>
      </c>
      <c r="U20" s="121"/>
      <c r="V20" s="122">
        <f t="shared" si="9"/>
        <v>646945</v>
      </c>
      <c r="W20" s="123">
        <f t="shared" si="10"/>
        <v>0</v>
      </c>
      <c r="X20" s="124">
        <f t="shared" si="11"/>
        <v>0</v>
      </c>
      <c r="Y20" s="125">
        <f t="shared" si="12"/>
        <v>0</v>
      </c>
      <c r="Z20" s="126">
        <f t="shared" si="13"/>
        <v>0</v>
      </c>
      <c r="AA20" s="126">
        <f t="shared" si="14"/>
        <v>0</v>
      </c>
    </row>
    <row r="21" spans="1:27" s="87" customFormat="1" ht="13.5" customHeight="1">
      <c r="A21" s="109"/>
      <c r="B21" s="110"/>
      <c r="C21" s="111" t="s">
        <v>12</v>
      </c>
      <c r="D21" s="112" t="s">
        <v>13</v>
      </c>
      <c r="E21" s="113" t="s">
        <v>2</v>
      </c>
      <c r="F21" s="114">
        <v>439923</v>
      </c>
      <c r="G21" s="115">
        <v>12</v>
      </c>
      <c r="H21" s="116">
        <f>F21*G21</f>
        <v>5279076</v>
      </c>
      <c r="I21" s="117">
        <v>30</v>
      </c>
      <c r="J21" s="99">
        <f t="shared" si="1"/>
        <v>13197690</v>
      </c>
      <c r="K21" s="118"/>
      <c r="L21" s="99">
        <f t="shared" si="0"/>
        <v>0</v>
      </c>
      <c r="M21" s="118">
        <v>1</v>
      </c>
      <c r="N21" s="99">
        <f t="shared" si="2"/>
        <v>439923</v>
      </c>
      <c r="O21" s="100">
        <f t="shared" si="3"/>
        <v>29</v>
      </c>
      <c r="P21" s="119">
        <f t="shared" si="4"/>
        <v>29</v>
      </c>
      <c r="Q21" s="120">
        <f t="shared" si="5"/>
        <v>12757767</v>
      </c>
      <c r="R21" s="103">
        <f t="shared" si="6"/>
        <v>0</v>
      </c>
      <c r="S21" s="104">
        <f t="shared" si="7"/>
        <v>0</v>
      </c>
      <c r="T21" s="119">
        <f t="shared" si="8"/>
        <v>30</v>
      </c>
      <c r="U21" s="121"/>
      <c r="V21" s="122">
        <f t="shared" si="9"/>
        <v>13197690</v>
      </c>
      <c r="W21" s="123">
        <f t="shared" si="10"/>
        <v>0</v>
      </c>
      <c r="X21" s="124">
        <f t="shared" si="11"/>
        <v>0</v>
      </c>
      <c r="Y21" s="125">
        <f t="shared" si="12"/>
        <v>0</v>
      </c>
      <c r="Z21" s="126">
        <f t="shared" si="13"/>
        <v>0</v>
      </c>
      <c r="AA21" s="126">
        <f t="shared" si="14"/>
        <v>12757767</v>
      </c>
    </row>
    <row r="22" spans="1:27" s="87" customFormat="1" ht="13.5" customHeight="1">
      <c r="A22" s="109"/>
      <c r="B22" s="110">
        <v>1.5</v>
      </c>
      <c r="C22" s="90"/>
      <c r="D22" s="127" t="s">
        <v>15</v>
      </c>
      <c r="E22" s="113"/>
      <c r="F22" s="114"/>
      <c r="G22" s="115"/>
      <c r="H22" s="116"/>
      <c r="I22" s="117"/>
      <c r="J22" s="99">
        <f t="shared" si="1"/>
        <v>0</v>
      </c>
      <c r="K22" s="118"/>
      <c r="L22" s="99"/>
      <c r="M22" s="118"/>
      <c r="N22" s="99"/>
      <c r="O22" s="100">
        <f t="shared" si="3"/>
        <v>0</v>
      </c>
      <c r="P22" s="119">
        <f t="shared" si="4"/>
        <v>0</v>
      </c>
      <c r="Q22" s="120">
        <f t="shared" si="5"/>
        <v>0</v>
      </c>
      <c r="R22" s="103">
        <f t="shared" si="6"/>
        <v>0</v>
      </c>
      <c r="S22" s="104">
        <f t="shared" si="7"/>
        <v>0</v>
      </c>
      <c r="T22" s="119">
        <f t="shared" si="8"/>
        <v>0</v>
      </c>
      <c r="U22" s="121"/>
      <c r="V22" s="122"/>
      <c r="W22" s="123"/>
      <c r="X22" s="124"/>
      <c r="Y22" s="125">
        <f t="shared" si="12"/>
        <v>0</v>
      </c>
      <c r="Z22" s="126">
        <f t="shared" si="13"/>
        <v>0</v>
      </c>
      <c r="AA22" s="126">
        <f t="shared" si="14"/>
        <v>0</v>
      </c>
    </row>
    <row r="23" spans="1:27" s="87" customFormat="1" ht="13.5" customHeight="1">
      <c r="A23" s="109"/>
      <c r="B23" s="110"/>
      <c r="C23" s="111" t="s">
        <v>16</v>
      </c>
      <c r="D23" s="112" t="s">
        <v>17</v>
      </c>
      <c r="E23" s="113" t="s">
        <v>2</v>
      </c>
      <c r="F23" s="114">
        <v>612611</v>
      </c>
      <c r="G23" s="115">
        <v>1</v>
      </c>
      <c r="H23" s="116">
        <f>F23*G23</f>
        <v>612611</v>
      </c>
      <c r="I23" s="117">
        <v>0</v>
      </c>
      <c r="J23" s="99">
        <f t="shared" si="1"/>
        <v>0</v>
      </c>
      <c r="K23" s="118"/>
      <c r="L23" s="99">
        <f t="shared" si="0"/>
        <v>0</v>
      </c>
      <c r="M23" s="118">
        <v>1</v>
      </c>
      <c r="N23" s="99">
        <f t="shared" si="2"/>
        <v>612611</v>
      </c>
      <c r="O23" s="100">
        <f t="shared" si="3"/>
        <v>-1</v>
      </c>
      <c r="P23" s="119">
        <f t="shared" si="4"/>
        <v>-1</v>
      </c>
      <c r="Q23" s="120">
        <f t="shared" si="5"/>
        <v>-612611</v>
      </c>
      <c r="R23" s="103">
        <f t="shared" si="6"/>
        <v>0</v>
      </c>
      <c r="S23" s="104">
        <f t="shared" si="7"/>
        <v>0</v>
      </c>
      <c r="T23" s="119">
        <f t="shared" si="8"/>
        <v>0</v>
      </c>
      <c r="U23" s="121"/>
      <c r="V23" s="122">
        <f t="shared" si="9"/>
        <v>0</v>
      </c>
      <c r="W23" s="123">
        <f t="shared" si="10"/>
        <v>0</v>
      </c>
      <c r="X23" s="124">
        <f t="shared" si="11"/>
        <v>0</v>
      </c>
      <c r="Y23" s="125">
        <f t="shared" si="12"/>
        <v>0</v>
      </c>
      <c r="Z23" s="126">
        <f t="shared" si="13"/>
        <v>0</v>
      </c>
      <c r="AA23" s="126">
        <f t="shared" si="14"/>
        <v>-612611</v>
      </c>
    </row>
    <row r="24" spans="1:27" s="87" customFormat="1" ht="13.5" customHeight="1">
      <c r="A24" s="109"/>
      <c r="B24" s="110"/>
      <c r="C24" s="111" t="s">
        <v>18</v>
      </c>
      <c r="D24" s="112" t="s">
        <v>19</v>
      </c>
      <c r="E24" s="113" t="s">
        <v>20</v>
      </c>
      <c r="F24" s="114">
        <v>405087</v>
      </c>
      <c r="G24" s="115">
        <v>8.53</v>
      </c>
      <c r="H24" s="116">
        <f>F24*G24</f>
        <v>3455392.11</v>
      </c>
      <c r="I24" s="117">
        <v>0</v>
      </c>
      <c r="J24" s="99">
        <f t="shared" si="1"/>
        <v>0</v>
      </c>
      <c r="K24" s="118"/>
      <c r="L24" s="99">
        <f t="shared" si="0"/>
        <v>0</v>
      </c>
      <c r="M24" s="118"/>
      <c r="N24" s="99">
        <f t="shared" si="2"/>
        <v>0</v>
      </c>
      <c r="O24" s="100">
        <f t="shared" si="3"/>
        <v>0</v>
      </c>
      <c r="P24" s="119">
        <f t="shared" si="4"/>
        <v>0</v>
      </c>
      <c r="Q24" s="120">
        <f t="shared" si="5"/>
        <v>0</v>
      </c>
      <c r="R24" s="103">
        <f t="shared" si="6"/>
        <v>0</v>
      </c>
      <c r="S24" s="104">
        <f t="shared" si="7"/>
        <v>0</v>
      </c>
      <c r="T24" s="119">
        <f t="shared" si="8"/>
        <v>0</v>
      </c>
      <c r="U24" s="121"/>
      <c r="V24" s="122">
        <f t="shared" si="9"/>
        <v>0</v>
      </c>
      <c r="W24" s="123">
        <f t="shared" si="10"/>
        <v>0</v>
      </c>
      <c r="X24" s="124">
        <f t="shared" si="11"/>
        <v>0</v>
      </c>
      <c r="Y24" s="125">
        <f t="shared" si="12"/>
        <v>0</v>
      </c>
      <c r="Z24" s="126">
        <f t="shared" si="13"/>
        <v>0</v>
      </c>
      <c r="AA24" s="126">
        <f t="shared" si="14"/>
        <v>0</v>
      </c>
    </row>
    <row r="25" spans="1:27" s="87" customFormat="1" ht="13.5" customHeight="1">
      <c r="A25" s="109"/>
      <c r="B25" s="110">
        <v>1.6</v>
      </c>
      <c r="C25" s="90"/>
      <c r="D25" s="127" t="s">
        <v>22</v>
      </c>
      <c r="E25" s="113"/>
      <c r="F25" s="114"/>
      <c r="G25" s="115"/>
      <c r="H25" s="116"/>
      <c r="I25" s="117"/>
      <c r="J25" s="99">
        <f t="shared" si="1"/>
        <v>0</v>
      </c>
      <c r="K25" s="118"/>
      <c r="L25" s="99"/>
      <c r="M25" s="118"/>
      <c r="N25" s="99"/>
      <c r="O25" s="100">
        <f t="shared" si="3"/>
        <v>0</v>
      </c>
      <c r="P25" s="119">
        <f t="shared" si="4"/>
        <v>0</v>
      </c>
      <c r="Q25" s="120">
        <f t="shared" si="5"/>
        <v>0</v>
      </c>
      <c r="R25" s="103">
        <f t="shared" si="6"/>
        <v>0</v>
      </c>
      <c r="S25" s="104">
        <f t="shared" si="7"/>
        <v>0</v>
      </c>
      <c r="T25" s="119">
        <f t="shared" si="8"/>
        <v>0</v>
      </c>
      <c r="U25" s="121"/>
      <c r="V25" s="122"/>
      <c r="W25" s="123"/>
      <c r="X25" s="124"/>
      <c r="Y25" s="125">
        <f t="shared" si="12"/>
        <v>0</v>
      </c>
      <c r="Z25" s="126">
        <f t="shared" si="13"/>
        <v>0</v>
      </c>
      <c r="AA25" s="126">
        <f t="shared" si="14"/>
        <v>0</v>
      </c>
    </row>
    <row r="26" spans="1:27" s="87" customFormat="1" ht="13.5" customHeight="1">
      <c r="A26" s="109"/>
      <c r="B26" s="110"/>
      <c r="C26" s="111" t="s">
        <v>23</v>
      </c>
      <c r="D26" s="112" t="s">
        <v>24</v>
      </c>
      <c r="E26" s="113" t="s">
        <v>2</v>
      </c>
      <c r="F26" s="114">
        <v>127398</v>
      </c>
      <c r="G26" s="115">
        <v>1</v>
      </c>
      <c r="H26" s="116">
        <f>F26*G26</f>
        <v>127398</v>
      </c>
      <c r="I26" s="117">
        <v>1</v>
      </c>
      <c r="J26" s="99">
        <f t="shared" si="1"/>
        <v>127398</v>
      </c>
      <c r="K26" s="118"/>
      <c r="L26" s="99">
        <f t="shared" si="0"/>
        <v>0</v>
      </c>
      <c r="M26" s="118">
        <v>1</v>
      </c>
      <c r="N26" s="99">
        <f t="shared" si="2"/>
        <v>127398</v>
      </c>
      <c r="O26" s="100">
        <f t="shared" si="3"/>
        <v>0</v>
      </c>
      <c r="P26" s="119">
        <f t="shared" si="4"/>
        <v>0</v>
      </c>
      <c r="Q26" s="120">
        <f t="shared" si="5"/>
        <v>0</v>
      </c>
      <c r="R26" s="103">
        <f t="shared" si="6"/>
        <v>0</v>
      </c>
      <c r="S26" s="104">
        <f t="shared" si="7"/>
        <v>0</v>
      </c>
      <c r="T26" s="119">
        <f t="shared" si="8"/>
        <v>1</v>
      </c>
      <c r="U26" s="121"/>
      <c r="V26" s="122">
        <f t="shared" si="9"/>
        <v>127398</v>
      </c>
      <c r="W26" s="123">
        <f t="shared" si="10"/>
        <v>0</v>
      </c>
      <c r="X26" s="124">
        <f t="shared" si="11"/>
        <v>0</v>
      </c>
      <c r="Y26" s="125">
        <f t="shared" si="12"/>
        <v>0</v>
      </c>
      <c r="Z26" s="126">
        <f t="shared" si="13"/>
        <v>0</v>
      </c>
      <c r="AA26" s="126">
        <f t="shared" si="14"/>
        <v>0</v>
      </c>
    </row>
    <row r="27" spans="1:27" s="87" customFormat="1" ht="13.5" customHeight="1">
      <c r="A27" s="109"/>
      <c r="B27" s="110"/>
      <c r="C27" s="111" t="s">
        <v>25</v>
      </c>
      <c r="D27" s="112" t="s">
        <v>26</v>
      </c>
      <c r="E27" s="113" t="s">
        <v>20</v>
      </c>
      <c r="F27" s="114">
        <v>476749</v>
      </c>
      <c r="G27" s="115">
        <v>3.35</v>
      </c>
      <c r="H27" s="116">
        <f>F27*G27</f>
        <v>1597109.1500000001</v>
      </c>
      <c r="I27" s="117">
        <v>1.6</v>
      </c>
      <c r="J27" s="99">
        <f t="shared" si="1"/>
        <v>762798.4</v>
      </c>
      <c r="K27" s="118"/>
      <c r="L27" s="99">
        <f t="shared" si="0"/>
        <v>0</v>
      </c>
      <c r="M27" s="118"/>
      <c r="N27" s="99">
        <f t="shared" si="2"/>
        <v>0</v>
      </c>
      <c r="O27" s="100">
        <f t="shared" si="3"/>
        <v>1.6</v>
      </c>
      <c r="P27" s="119">
        <f t="shared" si="4"/>
        <v>1.6</v>
      </c>
      <c r="Q27" s="120">
        <f t="shared" si="5"/>
        <v>762798.4</v>
      </c>
      <c r="R27" s="103">
        <f t="shared" si="6"/>
        <v>0</v>
      </c>
      <c r="S27" s="104">
        <f t="shared" si="7"/>
        <v>0</v>
      </c>
      <c r="T27" s="119">
        <f t="shared" si="8"/>
        <v>1.6</v>
      </c>
      <c r="U27" s="121"/>
      <c r="V27" s="122">
        <f t="shared" si="9"/>
        <v>762798.4</v>
      </c>
      <c r="W27" s="123">
        <f t="shared" si="10"/>
        <v>0</v>
      </c>
      <c r="X27" s="124">
        <f t="shared" si="11"/>
        <v>0</v>
      </c>
      <c r="Y27" s="125">
        <f t="shared" si="12"/>
        <v>0</v>
      </c>
      <c r="Z27" s="126">
        <f t="shared" si="13"/>
        <v>0</v>
      </c>
      <c r="AA27" s="126">
        <f t="shared" si="14"/>
        <v>762798.4</v>
      </c>
    </row>
    <row r="28" spans="1:27" s="87" customFormat="1" ht="13.5" customHeight="1">
      <c r="A28" s="109"/>
      <c r="B28" s="110"/>
      <c r="C28" s="111" t="s">
        <v>27</v>
      </c>
      <c r="D28" s="112" t="s">
        <v>28</v>
      </c>
      <c r="E28" s="113" t="s">
        <v>2</v>
      </c>
      <c r="F28" s="114">
        <v>281670</v>
      </c>
      <c r="G28" s="115">
        <v>2</v>
      </c>
      <c r="H28" s="116">
        <f>F28*G28</f>
        <v>563340</v>
      </c>
      <c r="I28" s="117">
        <v>2</v>
      </c>
      <c r="J28" s="99">
        <f t="shared" si="1"/>
        <v>563340</v>
      </c>
      <c r="K28" s="118"/>
      <c r="L28" s="99">
        <f t="shared" si="0"/>
        <v>0</v>
      </c>
      <c r="M28" s="118">
        <v>2</v>
      </c>
      <c r="N28" s="99">
        <f t="shared" si="2"/>
        <v>563340</v>
      </c>
      <c r="O28" s="100">
        <f t="shared" si="3"/>
        <v>0</v>
      </c>
      <c r="P28" s="119">
        <f t="shared" si="4"/>
        <v>0</v>
      </c>
      <c r="Q28" s="120">
        <f t="shared" si="5"/>
        <v>0</v>
      </c>
      <c r="R28" s="103">
        <f t="shared" si="6"/>
        <v>0</v>
      </c>
      <c r="S28" s="104">
        <f t="shared" si="7"/>
        <v>0</v>
      </c>
      <c r="T28" s="119">
        <f t="shared" si="8"/>
        <v>2</v>
      </c>
      <c r="U28" s="121"/>
      <c r="V28" s="122">
        <f t="shared" si="9"/>
        <v>563340</v>
      </c>
      <c r="W28" s="123">
        <f t="shared" si="10"/>
        <v>0</v>
      </c>
      <c r="X28" s="124">
        <f t="shared" si="11"/>
        <v>0</v>
      </c>
      <c r="Y28" s="125">
        <f t="shared" si="12"/>
        <v>0</v>
      </c>
      <c r="Z28" s="126">
        <f t="shared" si="13"/>
        <v>0</v>
      </c>
      <c r="AA28" s="126">
        <f t="shared" si="14"/>
        <v>0</v>
      </c>
    </row>
    <row r="29" spans="1:27" s="87" customFormat="1" ht="13.5" customHeight="1">
      <c r="A29" s="109"/>
      <c r="B29" s="110"/>
      <c r="C29" s="111" t="s">
        <v>29</v>
      </c>
      <c r="D29" s="112" t="s">
        <v>30</v>
      </c>
      <c r="E29" s="113" t="s">
        <v>2</v>
      </c>
      <c r="F29" s="114">
        <v>238872</v>
      </c>
      <c r="G29" s="115">
        <v>32</v>
      </c>
      <c r="H29" s="116">
        <f>F29*G29</f>
        <v>7643904</v>
      </c>
      <c r="I29" s="117">
        <v>0</v>
      </c>
      <c r="J29" s="99">
        <f t="shared" si="1"/>
        <v>0</v>
      </c>
      <c r="K29" s="118"/>
      <c r="L29" s="99">
        <f t="shared" si="0"/>
        <v>0</v>
      </c>
      <c r="M29" s="118">
        <v>32</v>
      </c>
      <c r="N29" s="99">
        <f t="shared" si="2"/>
        <v>7643904</v>
      </c>
      <c r="O29" s="100">
        <f t="shared" si="3"/>
        <v>-32</v>
      </c>
      <c r="P29" s="119">
        <f t="shared" si="4"/>
        <v>-32</v>
      </c>
      <c r="Q29" s="120">
        <f t="shared" si="5"/>
        <v>-7643904</v>
      </c>
      <c r="R29" s="103">
        <f t="shared" si="6"/>
        <v>0</v>
      </c>
      <c r="S29" s="104">
        <f t="shared" si="7"/>
        <v>0</v>
      </c>
      <c r="T29" s="119">
        <f t="shared" si="8"/>
        <v>0</v>
      </c>
      <c r="U29" s="121"/>
      <c r="V29" s="122">
        <f t="shared" si="9"/>
        <v>0</v>
      </c>
      <c r="W29" s="123">
        <f t="shared" si="10"/>
        <v>0</v>
      </c>
      <c r="X29" s="124">
        <f t="shared" si="11"/>
        <v>0</v>
      </c>
      <c r="Y29" s="125">
        <f t="shared" si="12"/>
        <v>0</v>
      </c>
      <c r="Z29" s="126">
        <f t="shared" si="13"/>
        <v>0</v>
      </c>
      <c r="AA29" s="126">
        <f t="shared" si="14"/>
        <v>-7643904</v>
      </c>
    </row>
    <row r="30" spans="1:27" s="87" customFormat="1" ht="13.5" customHeight="1">
      <c r="A30" s="109"/>
      <c r="B30" s="110"/>
      <c r="C30" s="111"/>
      <c r="D30" s="112" t="s">
        <v>30</v>
      </c>
      <c r="E30" s="113" t="s">
        <v>2</v>
      </c>
      <c r="F30" s="114">
        <v>211004</v>
      </c>
      <c r="G30" s="115"/>
      <c r="H30" s="116"/>
      <c r="I30" s="117">
        <v>32</v>
      </c>
      <c r="J30" s="99">
        <f t="shared" si="1"/>
        <v>6752128</v>
      </c>
      <c r="K30" s="118"/>
      <c r="L30" s="99">
        <f t="shared" si="0"/>
        <v>0</v>
      </c>
      <c r="M30" s="118"/>
      <c r="N30" s="99">
        <f t="shared" si="2"/>
        <v>0</v>
      </c>
      <c r="O30" s="128">
        <v>0</v>
      </c>
      <c r="P30" s="119">
        <v>0</v>
      </c>
      <c r="Q30" s="120">
        <f t="shared" si="5"/>
        <v>0</v>
      </c>
      <c r="R30" s="103">
        <f t="shared" si="6"/>
        <v>32</v>
      </c>
      <c r="S30" s="104">
        <f t="shared" si="7"/>
        <v>6752128</v>
      </c>
      <c r="T30" s="119">
        <f t="shared" si="8"/>
        <v>32</v>
      </c>
      <c r="U30" s="121"/>
      <c r="V30" s="122">
        <f>+T30*F30</f>
        <v>6752128</v>
      </c>
      <c r="W30" s="123">
        <f>+I30-T30</f>
        <v>0</v>
      </c>
      <c r="X30" s="124">
        <f>+W30*F30</f>
        <v>0</v>
      </c>
      <c r="Y30" s="125">
        <f t="shared" si="12"/>
        <v>0</v>
      </c>
      <c r="Z30" s="126">
        <f t="shared" si="13"/>
        <v>0</v>
      </c>
      <c r="AA30" s="126">
        <f t="shared" si="14"/>
        <v>0</v>
      </c>
    </row>
    <row r="31" spans="1:27" s="87" customFormat="1" ht="13.5" customHeight="1">
      <c r="A31" s="109"/>
      <c r="B31" s="110"/>
      <c r="C31" s="90"/>
      <c r="D31" s="129" t="s">
        <v>297</v>
      </c>
      <c r="E31" s="130"/>
      <c r="F31" s="131"/>
      <c r="G31" s="132"/>
      <c r="H31" s="133">
        <f>SUM(H18:H30)</f>
        <v>23518811.259999998</v>
      </c>
      <c r="I31" s="134"/>
      <c r="J31" s="135">
        <f>SUM(J18:J30)</f>
        <v>25643335.4</v>
      </c>
      <c r="K31" s="136"/>
      <c r="L31" s="135">
        <f>SUM(L18:L30)</f>
        <v>0</v>
      </c>
      <c r="M31" s="136"/>
      <c r="N31" s="135">
        <f>SUM(N18:N30)</f>
        <v>13627157</v>
      </c>
      <c r="O31" s="100">
        <f t="shared" si="3"/>
        <v>0</v>
      </c>
      <c r="P31" s="137"/>
      <c r="Q31" s="133">
        <f>SUM(Q18:Q30)</f>
        <v>5264050.4</v>
      </c>
      <c r="R31" s="138"/>
      <c r="S31" s="135">
        <f>SUM(S18:S30)</f>
        <v>6752128</v>
      </c>
      <c r="T31" s="137"/>
      <c r="U31" s="139"/>
      <c r="V31" s="133">
        <f>SUM(V18:V30)</f>
        <v>25643335.4</v>
      </c>
      <c r="W31" s="140"/>
      <c r="X31" s="141">
        <f>SUM(X18:X30)</f>
        <v>0</v>
      </c>
      <c r="Y31" s="125">
        <f t="shared" si="12"/>
        <v>0</v>
      </c>
      <c r="Z31" s="126"/>
      <c r="AA31" s="126">
        <f t="shared" si="14"/>
        <v>5264050.4</v>
      </c>
    </row>
    <row r="32" spans="1:27" s="87" customFormat="1" ht="13.5" customHeight="1">
      <c r="A32" s="109"/>
      <c r="B32" s="110">
        <v>2</v>
      </c>
      <c r="C32" s="90"/>
      <c r="D32" s="142" t="s">
        <v>32</v>
      </c>
      <c r="E32" s="143"/>
      <c r="F32" s="144"/>
      <c r="G32" s="145"/>
      <c r="H32" s="146"/>
      <c r="I32" s="117"/>
      <c r="J32" s="99"/>
      <c r="K32" s="118"/>
      <c r="L32" s="99"/>
      <c r="M32" s="118"/>
      <c r="N32" s="99"/>
      <c r="O32" s="100">
        <f t="shared" si="3"/>
        <v>0</v>
      </c>
      <c r="P32" s="119"/>
      <c r="Q32" s="120"/>
      <c r="R32" s="103"/>
      <c r="S32" s="104"/>
      <c r="T32" s="119"/>
      <c r="U32" s="121"/>
      <c r="V32" s="122"/>
      <c r="W32" s="147"/>
      <c r="X32" s="124"/>
      <c r="Y32" s="125">
        <f t="shared" si="12"/>
        <v>0</v>
      </c>
      <c r="Z32" s="126"/>
      <c r="AA32" s="126">
        <f t="shared" si="14"/>
        <v>0</v>
      </c>
    </row>
    <row r="33" spans="1:27" s="87" customFormat="1" ht="13.5" customHeight="1">
      <c r="A33" s="109"/>
      <c r="B33" s="110"/>
      <c r="C33" s="111" t="s">
        <v>33</v>
      </c>
      <c r="D33" s="148" t="s">
        <v>34</v>
      </c>
      <c r="E33" s="113" t="s">
        <v>2</v>
      </c>
      <c r="F33" s="114">
        <v>535471</v>
      </c>
      <c r="G33" s="115">
        <v>24</v>
      </c>
      <c r="H33" s="116">
        <f>F33*G33</f>
        <v>12851304</v>
      </c>
      <c r="I33" s="117">
        <v>24</v>
      </c>
      <c r="J33" s="99">
        <f aca="true" t="shared" si="15" ref="J33:J39">+I33*F33</f>
        <v>12851304</v>
      </c>
      <c r="K33" s="118"/>
      <c r="L33" s="99">
        <f aca="true" t="shared" si="16" ref="L33:L39">+K33*F33</f>
        <v>0</v>
      </c>
      <c r="M33" s="118">
        <v>1</v>
      </c>
      <c r="N33" s="99">
        <f aca="true" t="shared" si="17" ref="N33:N39">+M33*F33</f>
        <v>535471</v>
      </c>
      <c r="O33" s="100">
        <f t="shared" si="3"/>
        <v>23</v>
      </c>
      <c r="P33" s="119">
        <f aca="true" t="shared" si="18" ref="P33:P38">+I33-K33-M33</f>
        <v>23</v>
      </c>
      <c r="Q33" s="120">
        <f>+P33*F33</f>
        <v>12315833</v>
      </c>
      <c r="R33" s="103">
        <f aca="true" t="shared" si="19" ref="R33:R39">+I33-K33-M33-P33</f>
        <v>0</v>
      </c>
      <c r="S33" s="104">
        <f aca="true" t="shared" si="20" ref="S33:S39">+R33*F33</f>
        <v>0</v>
      </c>
      <c r="T33" s="119">
        <f aca="true" t="shared" si="21" ref="T33:T39">+K33+M33+O33+R33</f>
        <v>24</v>
      </c>
      <c r="U33" s="121"/>
      <c r="V33" s="122">
        <f aca="true" t="shared" si="22" ref="V33:V38">+T33*F33</f>
        <v>12851304</v>
      </c>
      <c r="W33" s="123">
        <f>+I33-T33</f>
        <v>0</v>
      </c>
      <c r="X33" s="124">
        <f t="shared" si="11"/>
        <v>0</v>
      </c>
      <c r="Y33" s="125">
        <f t="shared" si="12"/>
        <v>0</v>
      </c>
      <c r="Z33" s="126">
        <f t="shared" si="13"/>
        <v>0</v>
      </c>
      <c r="AA33" s="126">
        <f t="shared" si="14"/>
        <v>12315833</v>
      </c>
    </row>
    <row r="34" spans="1:27" s="87" customFormat="1" ht="13.5" customHeight="1">
      <c r="A34" s="109"/>
      <c r="B34" s="110">
        <v>2.2</v>
      </c>
      <c r="C34" s="90"/>
      <c r="D34" s="142" t="s">
        <v>36</v>
      </c>
      <c r="E34" s="113"/>
      <c r="F34" s="114"/>
      <c r="G34" s="115"/>
      <c r="H34" s="116"/>
      <c r="I34" s="117"/>
      <c r="J34" s="99"/>
      <c r="K34" s="118"/>
      <c r="L34" s="99"/>
      <c r="M34" s="118"/>
      <c r="N34" s="99"/>
      <c r="O34" s="100">
        <f t="shared" si="3"/>
        <v>0</v>
      </c>
      <c r="P34" s="119">
        <f t="shared" si="18"/>
        <v>0</v>
      </c>
      <c r="Q34" s="120"/>
      <c r="R34" s="103">
        <f t="shared" si="19"/>
        <v>0</v>
      </c>
      <c r="S34" s="104">
        <f t="shared" si="20"/>
        <v>0</v>
      </c>
      <c r="T34" s="119">
        <f t="shared" si="21"/>
        <v>0</v>
      </c>
      <c r="U34" s="121"/>
      <c r="V34" s="122"/>
      <c r="W34" s="123"/>
      <c r="X34" s="124"/>
      <c r="Y34" s="125">
        <f t="shared" si="12"/>
        <v>0</v>
      </c>
      <c r="Z34" s="126"/>
      <c r="AA34" s="126">
        <f t="shared" si="14"/>
        <v>0</v>
      </c>
    </row>
    <row r="35" spans="1:27" s="87" customFormat="1" ht="13.5" customHeight="1">
      <c r="A35" s="109"/>
      <c r="B35" s="110"/>
      <c r="C35" s="111" t="s">
        <v>37</v>
      </c>
      <c r="D35" s="148" t="s">
        <v>38</v>
      </c>
      <c r="E35" s="113" t="s">
        <v>2</v>
      </c>
      <c r="F35" s="114">
        <v>1094830</v>
      </c>
      <c r="G35" s="115">
        <v>1</v>
      </c>
      <c r="H35" s="116">
        <f>F35*G35</f>
        <v>1094830</v>
      </c>
      <c r="I35" s="117">
        <v>1</v>
      </c>
      <c r="J35" s="99">
        <f t="shared" si="15"/>
        <v>1094830</v>
      </c>
      <c r="K35" s="118"/>
      <c r="L35" s="99">
        <f t="shared" si="16"/>
        <v>0</v>
      </c>
      <c r="M35" s="118">
        <v>1</v>
      </c>
      <c r="N35" s="99">
        <f t="shared" si="17"/>
        <v>1094830</v>
      </c>
      <c r="O35" s="100">
        <f t="shared" si="3"/>
        <v>0</v>
      </c>
      <c r="P35" s="119">
        <f t="shared" si="18"/>
        <v>0</v>
      </c>
      <c r="Q35" s="120">
        <f>+P35*F35</f>
        <v>0</v>
      </c>
      <c r="R35" s="103">
        <f t="shared" si="19"/>
        <v>0</v>
      </c>
      <c r="S35" s="104">
        <f t="shared" si="20"/>
        <v>0</v>
      </c>
      <c r="T35" s="119">
        <f t="shared" si="21"/>
        <v>1</v>
      </c>
      <c r="U35" s="121"/>
      <c r="V35" s="122">
        <f t="shared" si="22"/>
        <v>1094830</v>
      </c>
      <c r="W35" s="123">
        <f>+I35-T35</f>
        <v>0</v>
      </c>
      <c r="X35" s="124">
        <f t="shared" si="11"/>
        <v>0</v>
      </c>
      <c r="Y35" s="125">
        <f t="shared" si="12"/>
        <v>0</v>
      </c>
      <c r="Z35" s="126">
        <f t="shared" si="13"/>
        <v>0</v>
      </c>
      <c r="AA35" s="126">
        <f t="shared" si="14"/>
        <v>0</v>
      </c>
    </row>
    <row r="36" spans="1:27" s="87" customFormat="1" ht="13.5" customHeight="1">
      <c r="A36" s="109"/>
      <c r="B36" s="110"/>
      <c r="C36" s="111" t="s">
        <v>39</v>
      </c>
      <c r="D36" s="112" t="s">
        <v>19</v>
      </c>
      <c r="E36" s="113" t="s">
        <v>20</v>
      </c>
      <c r="F36" s="114">
        <v>405087</v>
      </c>
      <c r="G36" s="115">
        <v>11.57</v>
      </c>
      <c r="H36" s="116">
        <f>F36*G36</f>
        <v>4686856.59</v>
      </c>
      <c r="I36" s="117">
        <v>0</v>
      </c>
      <c r="J36" s="99">
        <f t="shared" si="15"/>
        <v>0</v>
      </c>
      <c r="K36" s="118"/>
      <c r="L36" s="99">
        <f t="shared" si="16"/>
        <v>0</v>
      </c>
      <c r="M36" s="118">
        <v>0</v>
      </c>
      <c r="N36" s="99">
        <f t="shared" si="17"/>
        <v>0</v>
      </c>
      <c r="O36" s="100">
        <f t="shared" si="3"/>
        <v>0</v>
      </c>
      <c r="P36" s="119">
        <f t="shared" si="18"/>
        <v>0</v>
      </c>
      <c r="Q36" s="120">
        <f>+P36*F36</f>
        <v>0</v>
      </c>
      <c r="R36" s="103">
        <f t="shared" si="19"/>
        <v>0</v>
      </c>
      <c r="S36" s="104">
        <f t="shared" si="20"/>
        <v>0</v>
      </c>
      <c r="T36" s="119">
        <f t="shared" si="21"/>
        <v>0</v>
      </c>
      <c r="U36" s="121"/>
      <c r="V36" s="122">
        <f t="shared" si="22"/>
        <v>0</v>
      </c>
      <c r="W36" s="123">
        <f>+I36-T36</f>
        <v>0</v>
      </c>
      <c r="X36" s="124">
        <f t="shared" si="11"/>
        <v>0</v>
      </c>
      <c r="Y36" s="125">
        <f t="shared" si="12"/>
        <v>0</v>
      </c>
      <c r="Z36" s="126">
        <f t="shared" si="13"/>
        <v>0</v>
      </c>
      <c r="AA36" s="126">
        <f t="shared" si="14"/>
        <v>0</v>
      </c>
    </row>
    <row r="37" spans="1:27" s="87" customFormat="1" ht="13.5" customHeight="1">
      <c r="A37" s="109"/>
      <c r="B37" s="110"/>
      <c r="C37" s="111" t="s">
        <v>40</v>
      </c>
      <c r="D37" s="148" t="s">
        <v>28</v>
      </c>
      <c r="E37" s="113" t="s">
        <v>2</v>
      </c>
      <c r="F37" s="114">
        <v>281670</v>
      </c>
      <c r="G37" s="115">
        <v>1</v>
      </c>
      <c r="H37" s="116">
        <f>F37*G37</f>
        <v>281670</v>
      </c>
      <c r="I37" s="117">
        <v>1</v>
      </c>
      <c r="J37" s="99">
        <f t="shared" si="15"/>
        <v>281670</v>
      </c>
      <c r="K37" s="118"/>
      <c r="L37" s="99">
        <f t="shared" si="16"/>
        <v>0</v>
      </c>
      <c r="M37" s="118">
        <v>1</v>
      </c>
      <c r="N37" s="99">
        <f t="shared" si="17"/>
        <v>281670</v>
      </c>
      <c r="O37" s="100">
        <f t="shared" si="3"/>
        <v>0</v>
      </c>
      <c r="P37" s="119">
        <f t="shared" si="18"/>
        <v>0</v>
      </c>
      <c r="Q37" s="120">
        <f>+P37*F37</f>
        <v>0</v>
      </c>
      <c r="R37" s="103">
        <f t="shared" si="19"/>
        <v>0</v>
      </c>
      <c r="S37" s="104">
        <f t="shared" si="20"/>
        <v>0</v>
      </c>
      <c r="T37" s="119">
        <f t="shared" si="21"/>
        <v>1</v>
      </c>
      <c r="U37" s="121"/>
      <c r="V37" s="122">
        <f t="shared" si="22"/>
        <v>281670</v>
      </c>
      <c r="W37" s="123">
        <f>+I37-T37</f>
        <v>0</v>
      </c>
      <c r="X37" s="124">
        <f t="shared" si="11"/>
        <v>0</v>
      </c>
      <c r="Y37" s="125">
        <f t="shared" si="12"/>
        <v>0</v>
      </c>
      <c r="Z37" s="126">
        <f t="shared" si="13"/>
        <v>0</v>
      </c>
      <c r="AA37" s="126">
        <f t="shared" si="14"/>
        <v>0</v>
      </c>
    </row>
    <row r="38" spans="1:27" s="87" customFormat="1" ht="13.5" customHeight="1">
      <c r="A38" s="109"/>
      <c r="B38" s="110"/>
      <c r="C38" s="111" t="s">
        <v>41</v>
      </c>
      <c r="D38" s="148" t="s">
        <v>42</v>
      </c>
      <c r="E38" s="113" t="s">
        <v>2</v>
      </c>
      <c r="F38" s="114">
        <v>176168</v>
      </c>
      <c r="G38" s="115">
        <v>24</v>
      </c>
      <c r="H38" s="116">
        <f>F38*G38</f>
        <v>4228032</v>
      </c>
      <c r="I38" s="117">
        <v>0</v>
      </c>
      <c r="J38" s="99">
        <f t="shared" si="15"/>
        <v>0</v>
      </c>
      <c r="K38" s="118"/>
      <c r="L38" s="99">
        <f t="shared" si="16"/>
        <v>0</v>
      </c>
      <c r="M38" s="118">
        <v>1</v>
      </c>
      <c r="N38" s="99">
        <f t="shared" si="17"/>
        <v>176168</v>
      </c>
      <c r="O38" s="100">
        <f t="shared" si="3"/>
        <v>-1</v>
      </c>
      <c r="P38" s="119">
        <f t="shared" si="18"/>
        <v>-1</v>
      </c>
      <c r="Q38" s="120">
        <f>+P38*F38</f>
        <v>-176168</v>
      </c>
      <c r="R38" s="103">
        <f t="shared" si="19"/>
        <v>0</v>
      </c>
      <c r="S38" s="104">
        <f t="shared" si="20"/>
        <v>0</v>
      </c>
      <c r="T38" s="119">
        <f t="shared" si="21"/>
        <v>0</v>
      </c>
      <c r="U38" s="121"/>
      <c r="V38" s="122">
        <f t="shared" si="22"/>
        <v>0</v>
      </c>
      <c r="W38" s="123">
        <v>0</v>
      </c>
      <c r="X38" s="124">
        <f t="shared" si="11"/>
        <v>0</v>
      </c>
      <c r="Y38" s="125">
        <f t="shared" si="12"/>
        <v>0</v>
      </c>
      <c r="Z38" s="126">
        <f t="shared" si="13"/>
        <v>0</v>
      </c>
      <c r="AA38" s="126">
        <f t="shared" si="14"/>
        <v>-176168</v>
      </c>
    </row>
    <row r="39" spans="1:27" s="87" customFormat="1" ht="13.5" customHeight="1">
      <c r="A39" s="109"/>
      <c r="B39" s="110"/>
      <c r="C39" s="111"/>
      <c r="D39" s="148" t="s">
        <v>42</v>
      </c>
      <c r="E39" s="113" t="s">
        <v>2</v>
      </c>
      <c r="F39" s="114">
        <v>162234</v>
      </c>
      <c r="G39" s="115"/>
      <c r="H39" s="116"/>
      <c r="I39" s="117">
        <v>24</v>
      </c>
      <c r="J39" s="99">
        <f t="shared" si="15"/>
        <v>3893616</v>
      </c>
      <c r="K39" s="118"/>
      <c r="L39" s="99">
        <f t="shared" si="16"/>
        <v>0</v>
      </c>
      <c r="M39" s="118"/>
      <c r="N39" s="99">
        <f t="shared" si="17"/>
        <v>0</v>
      </c>
      <c r="O39" s="128">
        <v>0</v>
      </c>
      <c r="P39" s="119">
        <v>0</v>
      </c>
      <c r="Q39" s="120">
        <f>+P39*F39</f>
        <v>0</v>
      </c>
      <c r="R39" s="103">
        <f t="shared" si="19"/>
        <v>24</v>
      </c>
      <c r="S39" s="104">
        <f t="shared" si="20"/>
        <v>3893616</v>
      </c>
      <c r="T39" s="119">
        <f t="shared" si="21"/>
        <v>24</v>
      </c>
      <c r="U39" s="121"/>
      <c r="V39" s="122">
        <f>+T39*F39</f>
        <v>3893616</v>
      </c>
      <c r="W39" s="123">
        <f>+I39-T39</f>
        <v>0</v>
      </c>
      <c r="X39" s="124">
        <f>+W39*F39</f>
        <v>0</v>
      </c>
      <c r="Y39" s="125">
        <f t="shared" si="12"/>
        <v>0</v>
      </c>
      <c r="Z39" s="126">
        <f t="shared" si="13"/>
        <v>0</v>
      </c>
      <c r="AA39" s="126">
        <f t="shared" si="14"/>
        <v>0</v>
      </c>
    </row>
    <row r="40" spans="1:27" s="87" customFormat="1" ht="13.5" customHeight="1">
      <c r="A40" s="109"/>
      <c r="B40" s="110"/>
      <c r="C40" s="90"/>
      <c r="D40" s="129" t="s">
        <v>31</v>
      </c>
      <c r="E40" s="130"/>
      <c r="F40" s="131"/>
      <c r="G40" s="132"/>
      <c r="H40" s="133">
        <f>SUM(H33:H39)</f>
        <v>23142692.59</v>
      </c>
      <c r="I40" s="134"/>
      <c r="J40" s="135">
        <f>SUM(J33:J39)</f>
        <v>18121420</v>
      </c>
      <c r="K40" s="149">
        <f>SUM(K33:K39)</f>
        <v>0</v>
      </c>
      <c r="L40" s="135">
        <f>SUM(L33:L39)</f>
        <v>0</v>
      </c>
      <c r="M40" s="149"/>
      <c r="N40" s="135">
        <f>SUM(N33:N39)</f>
        <v>2088139</v>
      </c>
      <c r="O40" s="100">
        <f t="shared" si="3"/>
        <v>0</v>
      </c>
      <c r="P40" s="137"/>
      <c r="Q40" s="133">
        <f>SUM(Q33:Q39)</f>
        <v>12139665</v>
      </c>
      <c r="R40" s="138"/>
      <c r="S40" s="135">
        <f>SUM(S33:S39)</f>
        <v>3893616</v>
      </c>
      <c r="T40" s="137"/>
      <c r="U40" s="139"/>
      <c r="V40" s="133">
        <f>SUM(V33:V39)</f>
        <v>18121420</v>
      </c>
      <c r="W40" s="138"/>
      <c r="X40" s="141">
        <f>SUM(X33:X39)</f>
        <v>0</v>
      </c>
      <c r="Y40" s="125">
        <f t="shared" si="12"/>
        <v>0</v>
      </c>
      <c r="Z40" s="126"/>
      <c r="AA40" s="126">
        <f t="shared" si="14"/>
        <v>12139665</v>
      </c>
    </row>
    <row r="41" spans="1:27" s="87" customFormat="1" ht="23.25" customHeight="1">
      <c r="A41" s="109">
        <v>3</v>
      </c>
      <c r="B41" s="110"/>
      <c r="C41" s="90"/>
      <c r="D41" s="631" t="s">
        <v>298</v>
      </c>
      <c r="E41" s="632"/>
      <c r="F41" s="632"/>
      <c r="G41" s="632"/>
      <c r="H41" s="632"/>
      <c r="I41" s="117"/>
      <c r="J41" s="99"/>
      <c r="K41" s="118"/>
      <c r="L41" s="99"/>
      <c r="M41" s="118"/>
      <c r="N41" s="99"/>
      <c r="O41" s="100">
        <f t="shared" si="3"/>
        <v>0</v>
      </c>
      <c r="P41" s="119"/>
      <c r="Q41" s="120"/>
      <c r="R41" s="103"/>
      <c r="S41" s="104"/>
      <c r="T41" s="119"/>
      <c r="U41" s="121"/>
      <c r="V41" s="122"/>
      <c r="W41" s="147"/>
      <c r="X41" s="124"/>
      <c r="Y41" s="125">
        <f t="shared" si="12"/>
        <v>0</v>
      </c>
      <c r="Z41" s="126"/>
      <c r="AA41" s="126">
        <f t="shared" si="14"/>
        <v>0</v>
      </c>
    </row>
    <row r="42" spans="1:27" s="87" customFormat="1" ht="13.5" customHeight="1">
      <c r="A42" s="109"/>
      <c r="B42" s="110"/>
      <c r="C42" s="111" t="s">
        <v>43</v>
      </c>
      <c r="D42" s="148" t="s">
        <v>44</v>
      </c>
      <c r="E42" s="113" t="s">
        <v>2</v>
      </c>
      <c r="F42" s="114">
        <v>3025712</v>
      </c>
      <c r="G42" s="115">
        <v>1</v>
      </c>
      <c r="H42" s="116">
        <f>F42*G42</f>
        <v>3025712</v>
      </c>
      <c r="I42" s="117">
        <v>0</v>
      </c>
      <c r="J42" s="99">
        <f>+I42*F42</f>
        <v>0</v>
      </c>
      <c r="K42" s="118"/>
      <c r="L42" s="99">
        <f>+K42*F42</f>
        <v>0</v>
      </c>
      <c r="M42" s="118"/>
      <c r="N42" s="99">
        <f>+M42*F42</f>
        <v>0</v>
      </c>
      <c r="O42" s="100">
        <f t="shared" si="3"/>
        <v>0</v>
      </c>
      <c r="P42" s="119">
        <f>+I42-K42-M42</f>
        <v>0</v>
      </c>
      <c r="Q42" s="120">
        <f>+P42*F42</f>
        <v>0</v>
      </c>
      <c r="R42" s="103">
        <f>+I42-K42-M42-P42</f>
        <v>0</v>
      </c>
      <c r="S42" s="104">
        <f>+R42*F42</f>
        <v>0</v>
      </c>
      <c r="T42" s="119">
        <f>+K42+M42+O42+R42</f>
        <v>0</v>
      </c>
      <c r="U42" s="121"/>
      <c r="V42" s="122">
        <f>+T42*F42</f>
        <v>0</v>
      </c>
      <c r="W42" s="123">
        <f>+I42-T42</f>
        <v>0</v>
      </c>
      <c r="X42" s="124">
        <f t="shared" si="11"/>
        <v>0</v>
      </c>
      <c r="Y42" s="125">
        <f t="shared" si="12"/>
        <v>0</v>
      </c>
      <c r="Z42" s="126">
        <f t="shared" si="13"/>
        <v>0</v>
      </c>
      <c r="AA42" s="126">
        <f t="shared" si="14"/>
        <v>0</v>
      </c>
    </row>
    <row r="43" spans="1:27" s="87" customFormat="1" ht="13.5" customHeight="1">
      <c r="A43" s="109"/>
      <c r="B43" s="110"/>
      <c r="C43" s="111" t="s">
        <v>45</v>
      </c>
      <c r="D43" s="148" t="s">
        <v>46</v>
      </c>
      <c r="E43" s="113" t="s">
        <v>2</v>
      </c>
      <c r="F43" s="114">
        <v>1010230</v>
      </c>
      <c r="G43" s="115">
        <v>4</v>
      </c>
      <c r="H43" s="116">
        <f>F43*G43</f>
        <v>4040920</v>
      </c>
      <c r="I43" s="117">
        <v>0</v>
      </c>
      <c r="J43" s="99">
        <f>+I43*F43</f>
        <v>0</v>
      </c>
      <c r="K43" s="118"/>
      <c r="L43" s="99">
        <f>+K43*F43</f>
        <v>0</v>
      </c>
      <c r="M43" s="118"/>
      <c r="N43" s="99">
        <f>+M43*F43</f>
        <v>0</v>
      </c>
      <c r="O43" s="100">
        <f t="shared" si="3"/>
        <v>0</v>
      </c>
      <c r="P43" s="119">
        <f>+I43-K43-M43</f>
        <v>0</v>
      </c>
      <c r="Q43" s="120">
        <f>+P43*F43</f>
        <v>0</v>
      </c>
      <c r="R43" s="103">
        <f>+I43-K43-M43-P43</f>
        <v>0</v>
      </c>
      <c r="S43" s="104">
        <f>+R43*F43</f>
        <v>0</v>
      </c>
      <c r="T43" s="119">
        <f>+K43+M43+O43+R43</f>
        <v>0</v>
      </c>
      <c r="U43" s="121"/>
      <c r="V43" s="122">
        <f>+T43*F43</f>
        <v>0</v>
      </c>
      <c r="W43" s="123">
        <f>+I43-T43</f>
        <v>0</v>
      </c>
      <c r="X43" s="124">
        <f t="shared" si="11"/>
        <v>0</v>
      </c>
      <c r="Y43" s="125">
        <f t="shared" si="12"/>
        <v>0</v>
      </c>
      <c r="Z43" s="126">
        <f t="shared" si="13"/>
        <v>0</v>
      </c>
      <c r="AA43" s="126">
        <f t="shared" si="14"/>
        <v>0</v>
      </c>
    </row>
    <row r="44" spans="1:27" s="87" customFormat="1" ht="13.5" customHeight="1">
      <c r="A44" s="109"/>
      <c r="B44" s="110"/>
      <c r="C44" s="111" t="s">
        <v>47</v>
      </c>
      <c r="D44" s="148" t="s">
        <v>28</v>
      </c>
      <c r="E44" s="113" t="s">
        <v>2</v>
      </c>
      <c r="F44" s="114">
        <v>281670</v>
      </c>
      <c r="G44" s="115">
        <v>1</v>
      </c>
      <c r="H44" s="116">
        <f>F44*G44</f>
        <v>281670</v>
      </c>
      <c r="I44" s="117">
        <v>1</v>
      </c>
      <c r="J44" s="99">
        <f>+I44*F44</f>
        <v>281670</v>
      </c>
      <c r="K44" s="118"/>
      <c r="L44" s="99">
        <f>+K44*F44</f>
        <v>0</v>
      </c>
      <c r="M44" s="118">
        <v>1</v>
      </c>
      <c r="N44" s="99">
        <f>+M44*F44</f>
        <v>281670</v>
      </c>
      <c r="O44" s="100">
        <f t="shared" si="3"/>
        <v>0</v>
      </c>
      <c r="P44" s="119">
        <f>+I44-K44-M44</f>
        <v>0</v>
      </c>
      <c r="Q44" s="120">
        <f>+P44*F44</f>
        <v>0</v>
      </c>
      <c r="R44" s="103">
        <f>+I44-K44-M44-P44</f>
        <v>0</v>
      </c>
      <c r="S44" s="104">
        <f>+R44*F44</f>
        <v>0</v>
      </c>
      <c r="T44" s="119">
        <f>+K44+M44+O44+R44</f>
        <v>1</v>
      </c>
      <c r="U44" s="121"/>
      <c r="V44" s="122">
        <f>+T44*F44</f>
        <v>281670</v>
      </c>
      <c r="W44" s="123">
        <f>+I44-T44</f>
        <v>0</v>
      </c>
      <c r="X44" s="124">
        <f t="shared" si="11"/>
        <v>0</v>
      </c>
      <c r="Y44" s="125">
        <f t="shared" si="12"/>
        <v>0</v>
      </c>
      <c r="Z44" s="126">
        <f t="shared" si="13"/>
        <v>0</v>
      </c>
      <c r="AA44" s="126">
        <f t="shared" si="14"/>
        <v>0</v>
      </c>
    </row>
    <row r="45" spans="1:27" s="87" customFormat="1" ht="13.5" customHeight="1">
      <c r="A45" s="109"/>
      <c r="B45" s="110"/>
      <c r="C45" s="90"/>
      <c r="D45" s="129" t="s">
        <v>31</v>
      </c>
      <c r="E45" s="130"/>
      <c r="F45" s="131"/>
      <c r="G45" s="132"/>
      <c r="H45" s="133">
        <f>SUM(H42:H44)</f>
        <v>7348302</v>
      </c>
      <c r="I45" s="134"/>
      <c r="J45" s="135">
        <f>SUM(J42:J44)</f>
        <v>281670</v>
      </c>
      <c r="K45" s="136"/>
      <c r="L45" s="135">
        <f>SUM(L42:L44)</f>
        <v>0</v>
      </c>
      <c r="M45" s="136"/>
      <c r="N45" s="135">
        <f>SUM(N42:N44)</f>
        <v>281670</v>
      </c>
      <c r="O45" s="100">
        <f t="shared" si="3"/>
        <v>0</v>
      </c>
      <c r="P45" s="137"/>
      <c r="Q45" s="133">
        <f>SUM(Q42:Q44)</f>
        <v>0</v>
      </c>
      <c r="R45" s="138"/>
      <c r="S45" s="135">
        <f>SUM(S42:S44)</f>
        <v>0</v>
      </c>
      <c r="T45" s="137"/>
      <c r="U45" s="139"/>
      <c r="V45" s="135">
        <f>SUM(V42:V44)</f>
        <v>281670</v>
      </c>
      <c r="W45" s="140"/>
      <c r="X45" s="141">
        <f>SUM(X42:X44)</f>
        <v>0</v>
      </c>
      <c r="Y45" s="125">
        <f t="shared" si="12"/>
        <v>0</v>
      </c>
      <c r="Z45" s="126">
        <f t="shared" si="13"/>
        <v>0</v>
      </c>
      <c r="AA45" s="126">
        <f t="shared" si="14"/>
        <v>0</v>
      </c>
    </row>
    <row r="46" spans="1:27" s="87" customFormat="1" ht="13.5" customHeight="1">
      <c r="A46" s="109">
        <v>4</v>
      </c>
      <c r="B46" s="110"/>
      <c r="C46" s="90"/>
      <c r="D46" s="142" t="s">
        <v>48</v>
      </c>
      <c r="E46" s="143"/>
      <c r="F46" s="144"/>
      <c r="G46" s="145"/>
      <c r="H46" s="146"/>
      <c r="I46" s="117"/>
      <c r="J46" s="99"/>
      <c r="K46" s="118"/>
      <c r="L46" s="99"/>
      <c r="M46" s="118"/>
      <c r="N46" s="99"/>
      <c r="O46" s="100">
        <f t="shared" si="3"/>
        <v>0</v>
      </c>
      <c r="P46" s="119"/>
      <c r="Q46" s="120"/>
      <c r="R46" s="103"/>
      <c r="S46" s="104"/>
      <c r="T46" s="119"/>
      <c r="U46" s="121"/>
      <c r="V46" s="122"/>
      <c r="W46" s="147"/>
      <c r="X46" s="124"/>
      <c r="Y46" s="125">
        <f t="shared" si="12"/>
        <v>0</v>
      </c>
      <c r="Z46" s="126">
        <f t="shared" si="13"/>
        <v>0</v>
      </c>
      <c r="AA46" s="126">
        <f t="shared" si="14"/>
        <v>0</v>
      </c>
    </row>
    <row r="47" spans="1:27" s="87" customFormat="1" ht="13.5" customHeight="1">
      <c r="A47" s="109"/>
      <c r="B47" s="110"/>
      <c r="C47" s="111" t="s">
        <v>49</v>
      </c>
      <c r="D47" s="148" t="s">
        <v>50</v>
      </c>
      <c r="E47" s="113" t="s">
        <v>2</v>
      </c>
      <c r="F47" s="114">
        <v>3782140</v>
      </c>
      <c r="G47" s="115">
        <v>1</v>
      </c>
      <c r="H47" s="116">
        <f>F47*G47</f>
        <v>3782140</v>
      </c>
      <c r="I47" s="117">
        <v>0</v>
      </c>
      <c r="J47" s="99">
        <f>+I47*F47</f>
        <v>0</v>
      </c>
      <c r="K47" s="118"/>
      <c r="L47" s="99">
        <f>+K47*F47</f>
        <v>0</v>
      </c>
      <c r="M47" s="118"/>
      <c r="N47" s="99">
        <f>+M47*F47</f>
        <v>0</v>
      </c>
      <c r="O47" s="100">
        <f t="shared" si="3"/>
        <v>0</v>
      </c>
      <c r="P47" s="119">
        <f>+I47-K47-M47</f>
        <v>0</v>
      </c>
      <c r="Q47" s="120">
        <f>+P47*F47</f>
        <v>0</v>
      </c>
      <c r="R47" s="103">
        <f>+I47-K47-M47-P47</f>
        <v>0</v>
      </c>
      <c r="S47" s="104">
        <f>+R47*F47</f>
        <v>0</v>
      </c>
      <c r="T47" s="119">
        <f>+K47+M47+O47+R47</f>
        <v>0</v>
      </c>
      <c r="U47" s="121"/>
      <c r="V47" s="122">
        <f>+T47*F47</f>
        <v>0</v>
      </c>
      <c r="W47" s="123">
        <f>+I47-T47</f>
        <v>0</v>
      </c>
      <c r="X47" s="124">
        <f t="shared" si="11"/>
        <v>0</v>
      </c>
      <c r="Y47" s="125">
        <f t="shared" si="12"/>
        <v>0</v>
      </c>
      <c r="Z47" s="126">
        <f t="shared" si="13"/>
        <v>0</v>
      </c>
      <c r="AA47" s="126">
        <f t="shared" si="14"/>
        <v>0</v>
      </c>
    </row>
    <row r="48" spans="1:27" s="87" customFormat="1" ht="13.5" customHeight="1">
      <c r="A48" s="109"/>
      <c r="B48" s="110"/>
      <c r="C48" s="111" t="s">
        <v>51</v>
      </c>
      <c r="D48" s="148" t="s">
        <v>28</v>
      </c>
      <c r="E48" s="113" t="s">
        <v>2</v>
      </c>
      <c r="F48" s="114">
        <v>281670</v>
      </c>
      <c r="G48" s="115">
        <v>2</v>
      </c>
      <c r="H48" s="116">
        <f>F48*G48</f>
        <v>563340</v>
      </c>
      <c r="I48" s="117">
        <v>0</v>
      </c>
      <c r="J48" s="99">
        <f>+I48*F48</f>
        <v>0</v>
      </c>
      <c r="K48" s="118"/>
      <c r="L48" s="99">
        <f>+K48*F48</f>
        <v>0</v>
      </c>
      <c r="M48" s="118"/>
      <c r="N48" s="99">
        <f>+M48*F48</f>
        <v>0</v>
      </c>
      <c r="O48" s="100">
        <f t="shared" si="3"/>
        <v>0</v>
      </c>
      <c r="P48" s="119">
        <f>+I48-K48-M48</f>
        <v>0</v>
      </c>
      <c r="Q48" s="120">
        <f>+P48*F48</f>
        <v>0</v>
      </c>
      <c r="R48" s="103">
        <f>+I48-K48-M48-P48</f>
        <v>0</v>
      </c>
      <c r="S48" s="104">
        <f>+R48*F48</f>
        <v>0</v>
      </c>
      <c r="T48" s="119">
        <f>+K48+M48+O48+R48</f>
        <v>0</v>
      </c>
      <c r="U48" s="121"/>
      <c r="V48" s="122">
        <f>+T48*F48</f>
        <v>0</v>
      </c>
      <c r="W48" s="123">
        <f>+I48-T48</f>
        <v>0</v>
      </c>
      <c r="X48" s="124">
        <f t="shared" si="11"/>
        <v>0</v>
      </c>
      <c r="Y48" s="125">
        <f t="shared" si="12"/>
        <v>0</v>
      </c>
      <c r="Z48" s="126">
        <f t="shared" si="13"/>
        <v>0</v>
      </c>
      <c r="AA48" s="126">
        <f t="shared" si="14"/>
        <v>0</v>
      </c>
    </row>
    <row r="49" spans="1:27" s="87" customFormat="1" ht="13.5" customHeight="1">
      <c r="A49" s="109"/>
      <c r="B49" s="110"/>
      <c r="C49" s="90"/>
      <c r="D49" s="129" t="s">
        <v>31</v>
      </c>
      <c r="E49" s="130"/>
      <c r="F49" s="131"/>
      <c r="G49" s="132"/>
      <c r="H49" s="133">
        <f>SUM(H47:H48)</f>
        <v>4345480</v>
      </c>
      <c r="I49" s="134"/>
      <c r="J49" s="135">
        <v>0</v>
      </c>
      <c r="K49" s="136"/>
      <c r="L49" s="135">
        <v>0</v>
      </c>
      <c r="M49" s="136"/>
      <c r="N49" s="135">
        <v>0</v>
      </c>
      <c r="O49" s="100">
        <f t="shared" si="3"/>
        <v>0</v>
      </c>
      <c r="P49" s="137"/>
      <c r="Q49" s="133">
        <f>SUM(Q47:Q48)</f>
        <v>0</v>
      </c>
      <c r="R49" s="138"/>
      <c r="S49" s="135">
        <f>SUM(S47:S48)</f>
        <v>0</v>
      </c>
      <c r="T49" s="137"/>
      <c r="U49" s="139"/>
      <c r="V49" s="135">
        <f>SUM(V47:V48)</f>
        <v>0</v>
      </c>
      <c r="W49" s="140"/>
      <c r="X49" s="141">
        <f>SUM(X47:X48)</f>
        <v>0</v>
      </c>
      <c r="Y49" s="125">
        <f t="shared" si="12"/>
        <v>0</v>
      </c>
      <c r="Z49" s="126">
        <f t="shared" si="13"/>
        <v>0</v>
      </c>
      <c r="AA49" s="126">
        <f t="shared" si="14"/>
        <v>0</v>
      </c>
    </row>
    <row r="50" spans="1:27" s="87" customFormat="1" ht="13.5" customHeight="1">
      <c r="A50" s="109">
        <v>5</v>
      </c>
      <c r="B50" s="110"/>
      <c r="C50" s="90"/>
      <c r="D50" s="142" t="s">
        <v>52</v>
      </c>
      <c r="E50" s="143"/>
      <c r="F50" s="144"/>
      <c r="G50" s="145"/>
      <c r="H50" s="146"/>
      <c r="I50" s="117"/>
      <c r="J50" s="99"/>
      <c r="K50" s="118"/>
      <c r="L50" s="99"/>
      <c r="M50" s="118"/>
      <c r="N50" s="99"/>
      <c r="O50" s="100">
        <f t="shared" si="3"/>
        <v>0</v>
      </c>
      <c r="P50" s="119"/>
      <c r="Q50" s="120"/>
      <c r="R50" s="103"/>
      <c r="S50" s="104"/>
      <c r="T50" s="119"/>
      <c r="U50" s="121"/>
      <c r="V50" s="122"/>
      <c r="W50" s="147"/>
      <c r="X50" s="124"/>
      <c r="Y50" s="125">
        <f t="shared" si="12"/>
        <v>0</v>
      </c>
      <c r="Z50" s="126">
        <f t="shared" si="13"/>
        <v>0</v>
      </c>
      <c r="AA50" s="126">
        <f t="shared" si="14"/>
        <v>0</v>
      </c>
    </row>
    <row r="51" spans="1:27" s="87" customFormat="1" ht="13.5" customHeight="1">
      <c r="A51" s="109"/>
      <c r="B51" s="110"/>
      <c r="C51" s="111" t="s">
        <v>53</v>
      </c>
      <c r="D51" s="148" t="s">
        <v>54</v>
      </c>
      <c r="E51" s="113" t="s">
        <v>2</v>
      </c>
      <c r="F51" s="114">
        <v>624053</v>
      </c>
      <c r="G51" s="115">
        <v>8</v>
      </c>
      <c r="H51" s="116">
        <f aca="true" t="shared" si="23" ref="H51:H56">F51*G51</f>
        <v>4992424</v>
      </c>
      <c r="I51" s="117">
        <v>8</v>
      </c>
      <c r="J51" s="99">
        <f aca="true" t="shared" si="24" ref="J51:J57">+I51*F51</f>
        <v>4992424</v>
      </c>
      <c r="K51" s="118"/>
      <c r="L51" s="99">
        <f aca="true" t="shared" si="25" ref="L51:L57">+K51*F51</f>
        <v>0</v>
      </c>
      <c r="M51" s="118">
        <v>8</v>
      </c>
      <c r="N51" s="99">
        <f aca="true" t="shared" si="26" ref="N51:N57">+M51*F51</f>
        <v>4992424</v>
      </c>
      <c r="O51" s="100">
        <f t="shared" si="3"/>
        <v>0</v>
      </c>
      <c r="P51" s="119">
        <f aca="true" t="shared" si="27" ref="P51:P56">+I51-K51-M51</f>
        <v>0</v>
      </c>
      <c r="Q51" s="120">
        <f aca="true" t="shared" si="28" ref="Q51:Q57">+P51*F51</f>
        <v>0</v>
      </c>
      <c r="R51" s="103">
        <f aca="true" t="shared" si="29" ref="R51:R57">+I51-K51-M51-P51</f>
        <v>0</v>
      </c>
      <c r="S51" s="104">
        <f aca="true" t="shared" si="30" ref="S51:S57">+R51*F51</f>
        <v>0</v>
      </c>
      <c r="T51" s="119">
        <f aca="true" t="shared" si="31" ref="T51:T57">+K51+M51+O51+R51</f>
        <v>8</v>
      </c>
      <c r="U51" s="121"/>
      <c r="V51" s="122">
        <f aca="true" t="shared" si="32" ref="V51:V57">+T51*F51</f>
        <v>4992424</v>
      </c>
      <c r="W51" s="123">
        <f aca="true" t="shared" si="33" ref="W51:W57">+I51-T51</f>
        <v>0</v>
      </c>
      <c r="X51" s="124">
        <f t="shared" si="11"/>
        <v>0</v>
      </c>
      <c r="Y51" s="125">
        <f t="shared" si="12"/>
        <v>0</v>
      </c>
      <c r="Z51" s="126">
        <f t="shared" si="13"/>
        <v>0</v>
      </c>
      <c r="AA51" s="126">
        <f t="shared" si="14"/>
        <v>0</v>
      </c>
    </row>
    <row r="52" spans="1:27" s="87" customFormat="1" ht="13.5" customHeight="1">
      <c r="A52" s="109"/>
      <c r="B52" s="110"/>
      <c r="C52" s="150" t="s">
        <v>55</v>
      </c>
      <c r="D52" s="148" t="s">
        <v>56</v>
      </c>
      <c r="E52" s="113" t="s">
        <v>2</v>
      </c>
      <c r="F52" s="114">
        <v>672823</v>
      </c>
      <c r="G52" s="115">
        <v>1</v>
      </c>
      <c r="H52" s="116">
        <f t="shared" si="23"/>
        <v>672823</v>
      </c>
      <c r="I52" s="117">
        <v>1</v>
      </c>
      <c r="J52" s="99">
        <f t="shared" si="24"/>
        <v>672823</v>
      </c>
      <c r="K52" s="118"/>
      <c r="L52" s="99">
        <f t="shared" si="25"/>
        <v>0</v>
      </c>
      <c r="M52" s="118">
        <v>1</v>
      </c>
      <c r="N52" s="99">
        <f t="shared" si="26"/>
        <v>672823</v>
      </c>
      <c r="O52" s="100">
        <f t="shared" si="3"/>
        <v>0</v>
      </c>
      <c r="P52" s="119">
        <f t="shared" si="27"/>
        <v>0</v>
      </c>
      <c r="Q52" s="120">
        <f t="shared" si="28"/>
        <v>0</v>
      </c>
      <c r="R52" s="103">
        <f t="shared" si="29"/>
        <v>0</v>
      </c>
      <c r="S52" s="104">
        <f t="shared" si="30"/>
        <v>0</v>
      </c>
      <c r="T52" s="119">
        <f t="shared" si="31"/>
        <v>1</v>
      </c>
      <c r="U52" s="121"/>
      <c r="V52" s="122">
        <f t="shared" si="32"/>
        <v>672823</v>
      </c>
      <c r="W52" s="123">
        <f t="shared" si="33"/>
        <v>0</v>
      </c>
      <c r="X52" s="124">
        <f t="shared" si="11"/>
        <v>0</v>
      </c>
      <c r="Y52" s="125">
        <f t="shared" si="12"/>
        <v>0</v>
      </c>
      <c r="Z52" s="126">
        <f t="shared" si="13"/>
        <v>0</v>
      </c>
      <c r="AA52" s="126">
        <f t="shared" si="14"/>
        <v>0</v>
      </c>
    </row>
    <row r="53" spans="1:27" s="87" customFormat="1" ht="13.5" customHeight="1">
      <c r="A53" s="109"/>
      <c r="B53" s="110"/>
      <c r="C53" s="111" t="s">
        <v>57</v>
      </c>
      <c r="D53" s="148" t="s">
        <v>28</v>
      </c>
      <c r="E53" s="113" t="s">
        <v>2</v>
      </c>
      <c r="F53" s="114">
        <v>281670</v>
      </c>
      <c r="G53" s="115">
        <v>1</v>
      </c>
      <c r="H53" s="116">
        <f t="shared" si="23"/>
        <v>281670</v>
      </c>
      <c r="I53" s="117">
        <v>1</v>
      </c>
      <c r="J53" s="99">
        <f t="shared" si="24"/>
        <v>281670</v>
      </c>
      <c r="K53" s="118"/>
      <c r="L53" s="99">
        <f t="shared" si="25"/>
        <v>0</v>
      </c>
      <c r="M53" s="118">
        <v>1</v>
      </c>
      <c r="N53" s="99">
        <f t="shared" si="26"/>
        <v>281670</v>
      </c>
      <c r="O53" s="100">
        <f t="shared" si="3"/>
        <v>0</v>
      </c>
      <c r="P53" s="119">
        <f t="shared" si="27"/>
        <v>0</v>
      </c>
      <c r="Q53" s="120">
        <f t="shared" si="28"/>
        <v>0</v>
      </c>
      <c r="R53" s="103">
        <f t="shared" si="29"/>
        <v>0</v>
      </c>
      <c r="S53" s="104">
        <f t="shared" si="30"/>
        <v>0</v>
      </c>
      <c r="T53" s="119">
        <f t="shared" si="31"/>
        <v>1</v>
      </c>
      <c r="U53" s="121"/>
      <c r="V53" s="122">
        <f t="shared" si="32"/>
        <v>281670</v>
      </c>
      <c r="W53" s="123">
        <f t="shared" si="33"/>
        <v>0</v>
      </c>
      <c r="X53" s="124">
        <f t="shared" si="11"/>
        <v>0</v>
      </c>
      <c r="Y53" s="125">
        <f t="shared" si="12"/>
        <v>0</v>
      </c>
      <c r="Z53" s="126">
        <f t="shared" si="13"/>
        <v>0</v>
      </c>
      <c r="AA53" s="126">
        <f t="shared" si="14"/>
        <v>0</v>
      </c>
    </row>
    <row r="54" spans="1:27" s="87" customFormat="1" ht="13.5" customHeight="1">
      <c r="A54" s="109"/>
      <c r="B54" s="110"/>
      <c r="C54" s="150" t="s">
        <v>58</v>
      </c>
      <c r="D54" s="148" t="s">
        <v>59</v>
      </c>
      <c r="E54" s="113" t="s">
        <v>2</v>
      </c>
      <c r="F54" s="114">
        <v>176168</v>
      </c>
      <c r="G54" s="115">
        <v>24</v>
      </c>
      <c r="H54" s="116">
        <f t="shared" si="23"/>
        <v>4228032</v>
      </c>
      <c r="I54" s="117">
        <v>0</v>
      </c>
      <c r="J54" s="99">
        <f t="shared" si="24"/>
        <v>0</v>
      </c>
      <c r="K54" s="118"/>
      <c r="L54" s="99">
        <f t="shared" si="25"/>
        <v>0</v>
      </c>
      <c r="M54" s="118">
        <v>1</v>
      </c>
      <c r="N54" s="99">
        <f t="shared" si="26"/>
        <v>176168</v>
      </c>
      <c r="O54" s="100">
        <f t="shared" si="3"/>
        <v>-1</v>
      </c>
      <c r="P54" s="119">
        <f t="shared" si="27"/>
        <v>-1</v>
      </c>
      <c r="Q54" s="120">
        <f t="shared" si="28"/>
        <v>-176168</v>
      </c>
      <c r="R54" s="103">
        <f t="shared" si="29"/>
        <v>0</v>
      </c>
      <c r="S54" s="104">
        <f t="shared" si="30"/>
        <v>0</v>
      </c>
      <c r="T54" s="119">
        <f t="shared" si="31"/>
        <v>0</v>
      </c>
      <c r="U54" s="121"/>
      <c r="V54" s="122">
        <f t="shared" si="32"/>
        <v>0</v>
      </c>
      <c r="W54" s="123">
        <f t="shared" si="33"/>
        <v>0</v>
      </c>
      <c r="X54" s="124">
        <f t="shared" si="11"/>
        <v>0</v>
      </c>
      <c r="Y54" s="125">
        <f t="shared" si="12"/>
        <v>0</v>
      </c>
      <c r="Z54" s="126">
        <f t="shared" si="13"/>
        <v>0</v>
      </c>
      <c r="AA54" s="126">
        <f t="shared" si="14"/>
        <v>-176168</v>
      </c>
    </row>
    <row r="55" spans="1:27" s="87" customFormat="1" ht="13.5" customHeight="1">
      <c r="A55" s="109"/>
      <c r="B55" s="110"/>
      <c r="C55" s="111" t="s">
        <v>60</v>
      </c>
      <c r="D55" s="148" t="s">
        <v>61</v>
      </c>
      <c r="E55" s="113" t="s">
        <v>2</v>
      </c>
      <c r="F55" s="114">
        <v>632016</v>
      </c>
      <c r="G55" s="115">
        <v>4</v>
      </c>
      <c r="H55" s="116">
        <f t="shared" si="23"/>
        <v>2528064</v>
      </c>
      <c r="I55" s="117">
        <v>4</v>
      </c>
      <c r="J55" s="99">
        <f t="shared" si="24"/>
        <v>2528064</v>
      </c>
      <c r="K55" s="118"/>
      <c r="L55" s="99">
        <f t="shared" si="25"/>
        <v>0</v>
      </c>
      <c r="M55" s="118">
        <v>4</v>
      </c>
      <c r="N55" s="99">
        <f t="shared" si="26"/>
        <v>2528064</v>
      </c>
      <c r="O55" s="100">
        <f t="shared" si="3"/>
        <v>0</v>
      </c>
      <c r="P55" s="119">
        <f t="shared" si="27"/>
        <v>0</v>
      </c>
      <c r="Q55" s="120">
        <f t="shared" si="28"/>
        <v>0</v>
      </c>
      <c r="R55" s="103">
        <f t="shared" si="29"/>
        <v>0</v>
      </c>
      <c r="S55" s="104">
        <f t="shared" si="30"/>
        <v>0</v>
      </c>
      <c r="T55" s="119">
        <f t="shared" si="31"/>
        <v>4</v>
      </c>
      <c r="U55" s="121"/>
      <c r="V55" s="122">
        <f t="shared" si="32"/>
        <v>2528064</v>
      </c>
      <c r="W55" s="123">
        <f t="shared" si="33"/>
        <v>0</v>
      </c>
      <c r="X55" s="124">
        <f t="shared" si="11"/>
        <v>0</v>
      </c>
      <c r="Y55" s="125">
        <f t="shared" si="12"/>
        <v>0</v>
      </c>
      <c r="Z55" s="126">
        <f t="shared" si="13"/>
        <v>0</v>
      </c>
      <c r="AA55" s="126">
        <f t="shared" si="14"/>
        <v>0</v>
      </c>
    </row>
    <row r="56" spans="1:27" s="87" customFormat="1" ht="13.5" customHeight="1">
      <c r="A56" s="109"/>
      <c r="B56" s="110"/>
      <c r="C56" s="150" t="s">
        <v>62</v>
      </c>
      <c r="D56" s="148" t="s">
        <v>63</v>
      </c>
      <c r="E56" s="113" t="s">
        <v>2</v>
      </c>
      <c r="F56" s="114">
        <v>202046</v>
      </c>
      <c r="G56" s="115">
        <v>16</v>
      </c>
      <c r="H56" s="116">
        <f t="shared" si="23"/>
        <v>3232736</v>
      </c>
      <c r="I56" s="117">
        <v>16</v>
      </c>
      <c r="J56" s="99">
        <f t="shared" si="24"/>
        <v>3232736</v>
      </c>
      <c r="K56" s="118"/>
      <c r="L56" s="99">
        <f t="shared" si="25"/>
        <v>0</v>
      </c>
      <c r="M56" s="118">
        <v>16</v>
      </c>
      <c r="N56" s="99">
        <f t="shared" si="26"/>
        <v>3232736</v>
      </c>
      <c r="O56" s="100">
        <f t="shared" si="3"/>
        <v>0</v>
      </c>
      <c r="P56" s="119">
        <f t="shared" si="27"/>
        <v>0</v>
      </c>
      <c r="Q56" s="120">
        <f t="shared" si="28"/>
        <v>0</v>
      </c>
      <c r="R56" s="103">
        <f t="shared" si="29"/>
        <v>0</v>
      </c>
      <c r="S56" s="104">
        <f t="shared" si="30"/>
        <v>0</v>
      </c>
      <c r="T56" s="119">
        <f t="shared" si="31"/>
        <v>16</v>
      </c>
      <c r="U56" s="121"/>
      <c r="V56" s="122">
        <f t="shared" si="32"/>
        <v>3232736</v>
      </c>
      <c r="W56" s="123">
        <f t="shared" si="33"/>
        <v>0</v>
      </c>
      <c r="X56" s="124">
        <f t="shared" si="11"/>
        <v>0</v>
      </c>
      <c r="Y56" s="125">
        <f t="shared" si="12"/>
        <v>0</v>
      </c>
      <c r="Z56" s="126">
        <f t="shared" si="13"/>
        <v>0</v>
      </c>
      <c r="AA56" s="126">
        <f t="shared" si="14"/>
        <v>0</v>
      </c>
    </row>
    <row r="57" spans="1:27" s="87" customFormat="1" ht="13.5" customHeight="1">
      <c r="A57" s="109"/>
      <c r="B57" s="110"/>
      <c r="C57" s="150"/>
      <c r="D57" s="148" t="s">
        <v>59</v>
      </c>
      <c r="E57" s="113" t="s">
        <v>2</v>
      </c>
      <c r="F57" s="114">
        <v>162234</v>
      </c>
      <c r="G57" s="115"/>
      <c r="H57" s="116"/>
      <c r="I57" s="117">
        <v>24</v>
      </c>
      <c r="J57" s="99">
        <f t="shared" si="24"/>
        <v>3893616</v>
      </c>
      <c r="K57" s="118"/>
      <c r="L57" s="99">
        <f t="shared" si="25"/>
        <v>0</v>
      </c>
      <c r="M57" s="118"/>
      <c r="N57" s="99">
        <f t="shared" si="26"/>
        <v>0</v>
      </c>
      <c r="O57" s="128">
        <v>0</v>
      </c>
      <c r="P57" s="119">
        <v>0</v>
      </c>
      <c r="Q57" s="120">
        <f t="shared" si="28"/>
        <v>0</v>
      </c>
      <c r="R57" s="103">
        <f t="shared" si="29"/>
        <v>24</v>
      </c>
      <c r="S57" s="104">
        <f t="shared" si="30"/>
        <v>3893616</v>
      </c>
      <c r="T57" s="119">
        <f t="shared" si="31"/>
        <v>24</v>
      </c>
      <c r="U57" s="121"/>
      <c r="V57" s="122">
        <f t="shared" si="32"/>
        <v>3893616</v>
      </c>
      <c r="W57" s="123">
        <f t="shared" si="33"/>
        <v>0</v>
      </c>
      <c r="X57" s="124">
        <f t="shared" si="11"/>
        <v>0</v>
      </c>
      <c r="Y57" s="125">
        <f t="shared" si="12"/>
        <v>0</v>
      </c>
      <c r="Z57" s="126">
        <f t="shared" si="13"/>
        <v>0</v>
      </c>
      <c r="AA57" s="126">
        <f t="shared" si="14"/>
        <v>0</v>
      </c>
    </row>
    <row r="58" spans="1:27" s="87" customFormat="1" ht="13.5" customHeight="1">
      <c r="A58" s="109"/>
      <c r="B58" s="110"/>
      <c r="C58" s="90"/>
      <c r="D58" s="129" t="s">
        <v>31</v>
      </c>
      <c r="E58" s="130"/>
      <c r="F58" s="131"/>
      <c r="G58" s="132"/>
      <c r="H58" s="151">
        <f>SUM(H51:H57)</f>
        <v>15935749</v>
      </c>
      <c r="I58" s="134"/>
      <c r="J58" s="152">
        <f>SUM(J51:J57)</f>
        <v>15601333</v>
      </c>
      <c r="K58" s="153"/>
      <c r="L58" s="152">
        <f>SUM(L51:L57)</f>
        <v>0</v>
      </c>
      <c r="M58" s="153"/>
      <c r="N58" s="152">
        <f>SUM(N51:N57)</f>
        <v>11883885</v>
      </c>
      <c r="O58" s="100">
        <f t="shared" si="3"/>
        <v>0</v>
      </c>
      <c r="P58" s="137"/>
      <c r="Q58" s="151">
        <f>SUM(Q51:Q57)</f>
        <v>-176168</v>
      </c>
      <c r="R58" s="154"/>
      <c r="S58" s="151">
        <f>SUM(S51:S57)</f>
        <v>3893616</v>
      </c>
      <c r="T58" s="137"/>
      <c r="U58" s="139"/>
      <c r="V58" s="151">
        <f>SUM(V51:V57)</f>
        <v>15601333</v>
      </c>
      <c r="W58" s="140"/>
      <c r="X58" s="141">
        <f>SUM(X51:X57)</f>
        <v>0</v>
      </c>
      <c r="Y58" s="125">
        <f t="shared" si="12"/>
        <v>0</v>
      </c>
      <c r="Z58" s="126">
        <f t="shared" si="13"/>
        <v>0</v>
      </c>
      <c r="AA58" s="126">
        <f t="shared" si="14"/>
        <v>-176168</v>
      </c>
    </row>
    <row r="59" spans="1:27" s="87" customFormat="1" ht="13.5" customHeight="1">
      <c r="A59" s="109">
        <v>6</v>
      </c>
      <c r="B59" s="110"/>
      <c r="C59" s="90"/>
      <c r="D59" s="142" t="s">
        <v>64</v>
      </c>
      <c r="E59" s="143"/>
      <c r="F59" s="144"/>
      <c r="G59" s="145"/>
      <c r="H59" s="146"/>
      <c r="I59" s="117"/>
      <c r="J59" s="99"/>
      <c r="K59" s="118"/>
      <c r="L59" s="99"/>
      <c r="M59" s="118"/>
      <c r="N59" s="99"/>
      <c r="O59" s="100">
        <f t="shared" si="3"/>
        <v>0</v>
      </c>
      <c r="P59" s="119"/>
      <c r="Q59" s="120"/>
      <c r="R59" s="103"/>
      <c r="S59" s="104"/>
      <c r="T59" s="119"/>
      <c r="U59" s="121"/>
      <c r="V59" s="122"/>
      <c r="W59" s="147"/>
      <c r="X59" s="124"/>
      <c r="Y59" s="125">
        <f t="shared" si="12"/>
        <v>0</v>
      </c>
      <c r="Z59" s="126">
        <f t="shared" si="13"/>
        <v>0</v>
      </c>
      <c r="AA59" s="126">
        <f t="shared" si="14"/>
        <v>0</v>
      </c>
    </row>
    <row r="60" spans="1:27" s="87" customFormat="1" ht="13.5" customHeight="1">
      <c r="A60" s="109"/>
      <c r="B60" s="110"/>
      <c r="C60" s="111" t="s">
        <v>65</v>
      </c>
      <c r="D60" s="148" t="s">
        <v>66</v>
      </c>
      <c r="E60" s="113" t="s">
        <v>2</v>
      </c>
      <c r="F60" s="114">
        <v>326458</v>
      </c>
      <c r="G60" s="115">
        <v>6</v>
      </c>
      <c r="H60" s="116">
        <f>F60*G60</f>
        <v>1958748</v>
      </c>
      <c r="I60" s="117">
        <v>6</v>
      </c>
      <c r="J60" s="99">
        <f>+I60*F60</f>
        <v>1958748</v>
      </c>
      <c r="K60" s="118"/>
      <c r="L60" s="99">
        <f>+K60*F60</f>
        <v>0</v>
      </c>
      <c r="M60" s="118"/>
      <c r="N60" s="99">
        <f>+M60*F60</f>
        <v>0</v>
      </c>
      <c r="O60" s="100">
        <f t="shared" si="3"/>
        <v>6</v>
      </c>
      <c r="P60" s="119">
        <f>+I60-K60-M60</f>
        <v>6</v>
      </c>
      <c r="Q60" s="120">
        <f>+P60*F60</f>
        <v>1958748</v>
      </c>
      <c r="R60" s="103">
        <f>+I60-K60-M60-P60</f>
        <v>0</v>
      </c>
      <c r="S60" s="104">
        <f>+R60*F60</f>
        <v>0</v>
      </c>
      <c r="T60" s="119">
        <f>+K60+M60+O60+R60</f>
        <v>6</v>
      </c>
      <c r="U60" s="121"/>
      <c r="V60" s="122">
        <f>+T60*F60</f>
        <v>1958748</v>
      </c>
      <c r="W60" s="123">
        <f>+I60-T60</f>
        <v>0</v>
      </c>
      <c r="X60" s="124">
        <f t="shared" si="11"/>
        <v>0</v>
      </c>
      <c r="Y60" s="125">
        <f t="shared" si="12"/>
        <v>0</v>
      </c>
      <c r="Z60" s="126">
        <f t="shared" si="13"/>
        <v>0</v>
      </c>
      <c r="AA60" s="126">
        <f t="shared" si="14"/>
        <v>1958748</v>
      </c>
    </row>
    <row r="61" spans="1:27" s="87" customFormat="1" ht="13.5" customHeight="1">
      <c r="A61" s="109"/>
      <c r="B61" s="110"/>
      <c r="C61" s="111" t="s">
        <v>67</v>
      </c>
      <c r="D61" s="148" t="s">
        <v>68</v>
      </c>
      <c r="E61" s="113" t="s">
        <v>2</v>
      </c>
      <c r="F61" s="114">
        <v>912690</v>
      </c>
      <c r="G61" s="115">
        <v>4</v>
      </c>
      <c r="H61" s="116">
        <f>F61*G61</f>
        <v>3650760</v>
      </c>
      <c r="I61" s="117">
        <v>4</v>
      </c>
      <c r="J61" s="99">
        <f>+I61*F61</f>
        <v>3650760</v>
      </c>
      <c r="K61" s="118"/>
      <c r="L61" s="99">
        <f>+K61*F61</f>
        <v>0</v>
      </c>
      <c r="M61" s="118">
        <v>3</v>
      </c>
      <c r="N61" s="99">
        <f>+M61*F61</f>
        <v>2738070</v>
      </c>
      <c r="O61" s="100">
        <f t="shared" si="3"/>
        <v>1</v>
      </c>
      <c r="P61" s="119">
        <f>+I61-K61-M61</f>
        <v>1</v>
      </c>
      <c r="Q61" s="120">
        <f>+P61*F61</f>
        <v>912690</v>
      </c>
      <c r="R61" s="103">
        <f>+I61-K61-M61-P61</f>
        <v>0</v>
      </c>
      <c r="S61" s="104">
        <f>+R61*F61</f>
        <v>0</v>
      </c>
      <c r="T61" s="119">
        <f>+K61+M61+O61+R61</f>
        <v>4</v>
      </c>
      <c r="U61" s="121"/>
      <c r="V61" s="122">
        <f>+T61*F61</f>
        <v>3650760</v>
      </c>
      <c r="W61" s="123">
        <f>+I61-T61</f>
        <v>0</v>
      </c>
      <c r="X61" s="124">
        <f t="shared" si="11"/>
        <v>0</v>
      </c>
      <c r="Y61" s="125">
        <f t="shared" si="12"/>
        <v>0</v>
      </c>
      <c r="Z61" s="126">
        <f t="shared" si="13"/>
        <v>0</v>
      </c>
      <c r="AA61" s="126">
        <f t="shared" si="14"/>
        <v>912690</v>
      </c>
    </row>
    <row r="62" spans="1:27" s="87" customFormat="1" ht="13.5" customHeight="1">
      <c r="A62" s="109"/>
      <c r="B62" s="110"/>
      <c r="C62" s="111" t="s">
        <v>69</v>
      </c>
      <c r="D62" s="148" t="s">
        <v>70</v>
      </c>
      <c r="E62" s="113" t="s">
        <v>2</v>
      </c>
      <c r="F62" s="114">
        <v>1755709</v>
      </c>
      <c r="G62" s="115">
        <v>4</v>
      </c>
      <c r="H62" s="116">
        <f>F62*G62</f>
        <v>7022836</v>
      </c>
      <c r="I62" s="117">
        <v>4</v>
      </c>
      <c r="J62" s="99">
        <f>+I62*F62</f>
        <v>7022836</v>
      </c>
      <c r="K62" s="118"/>
      <c r="L62" s="99">
        <f>+K62*F62</f>
        <v>0</v>
      </c>
      <c r="M62" s="118">
        <v>3</v>
      </c>
      <c r="N62" s="99">
        <f>+M62*F62</f>
        <v>5267127</v>
      </c>
      <c r="O62" s="100">
        <f t="shared" si="3"/>
        <v>1</v>
      </c>
      <c r="P62" s="119">
        <f>+I62-K62-M62</f>
        <v>1</v>
      </c>
      <c r="Q62" s="120">
        <f>+P62*F62</f>
        <v>1755709</v>
      </c>
      <c r="R62" s="103">
        <f>+I62-K62-M62-P62</f>
        <v>0</v>
      </c>
      <c r="S62" s="104">
        <f>+R62*F62</f>
        <v>0</v>
      </c>
      <c r="T62" s="119">
        <f>+K62+M62+O62+R62</f>
        <v>4</v>
      </c>
      <c r="U62" s="121"/>
      <c r="V62" s="122">
        <f>+T62*F62</f>
        <v>7022836</v>
      </c>
      <c r="W62" s="123">
        <f>+I62-T62</f>
        <v>0</v>
      </c>
      <c r="X62" s="124">
        <f t="shared" si="11"/>
        <v>0</v>
      </c>
      <c r="Y62" s="125">
        <f t="shared" si="12"/>
        <v>0</v>
      </c>
      <c r="Z62" s="126">
        <f t="shared" si="13"/>
        <v>0</v>
      </c>
      <c r="AA62" s="126">
        <f t="shared" si="14"/>
        <v>1755709</v>
      </c>
    </row>
    <row r="63" spans="1:27" s="87" customFormat="1" ht="13.5" customHeight="1">
      <c r="A63" s="109"/>
      <c r="B63" s="110"/>
      <c r="C63" s="90"/>
      <c r="D63" s="129" t="s">
        <v>31</v>
      </c>
      <c r="E63" s="130"/>
      <c r="F63" s="131"/>
      <c r="G63" s="132"/>
      <c r="H63" s="133">
        <f>SUM(H60:H62)</f>
        <v>12632344</v>
      </c>
      <c r="I63" s="134"/>
      <c r="J63" s="135">
        <f>SUM(J60:J62)</f>
        <v>12632344</v>
      </c>
      <c r="K63" s="136"/>
      <c r="L63" s="135">
        <f>SUM(L60:L62)</f>
        <v>0</v>
      </c>
      <c r="M63" s="136"/>
      <c r="N63" s="135">
        <f>SUM(N60:N62)</f>
        <v>8005197</v>
      </c>
      <c r="O63" s="100">
        <f t="shared" si="3"/>
        <v>0</v>
      </c>
      <c r="P63" s="137"/>
      <c r="Q63" s="133">
        <f>SUM(Q60:Q62)</f>
        <v>4627147</v>
      </c>
      <c r="R63" s="138"/>
      <c r="S63" s="133">
        <f>SUM(S60:S62)</f>
        <v>0</v>
      </c>
      <c r="T63" s="137"/>
      <c r="U63" s="139"/>
      <c r="V63" s="135">
        <f>SUM(V60:V62)</f>
        <v>12632344</v>
      </c>
      <c r="W63" s="140"/>
      <c r="X63" s="141">
        <f>SUM(X60:X62)</f>
        <v>0</v>
      </c>
      <c r="Y63" s="125">
        <f t="shared" si="12"/>
        <v>0</v>
      </c>
      <c r="Z63" s="126">
        <f t="shared" si="13"/>
        <v>0</v>
      </c>
      <c r="AA63" s="126">
        <f t="shared" si="14"/>
        <v>4627147</v>
      </c>
    </row>
    <row r="64" spans="1:27" s="87" customFormat="1" ht="17.25" customHeight="1">
      <c r="A64" s="109">
        <v>7</v>
      </c>
      <c r="B64" s="110"/>
      <c r="C64" s="90"/>
      <c r="D64" s="631" t="s">
        <v>299</v>
      </c>
      <c r="E64" s="632"/>
      <c r="F64" s="632"/>
      <c r="G64" s="632"/>
      <c r="H64" s="632"/>
      <c r="I64" s="117"/>
      <c r="J64" s="99"/>
      <c r="K64" s="118"/>
      <c r="L64" s="99"/>
      <c r="M64" s="118"/>
      <c r="N64" s="99"/>
      <c r="O64" s="100">
        <f t="shared" si="3"/>
        <v>0</v>
      </c>
      <c r="P64" s="119"/>
      <c r="Q64" s="120"/>
      <c r="R64" s="103"/>
      <c r="S64" s="104"/>
      <c r="T64" s="119"/>
      <c r="U64" s="121"/>
      <c r="V64" s="122"/>
      <c r="W64" s="147"/>
      <c r="X64" s="124"/>
      <c r="Y64" s="125">
        <f t="shared" si="12"/>
        <v>0</v>
      </c>
      <c r="Z64" s="126">
        <f t="shared" si="13"/>
        <v>0</v>
      </c>
      <c r="AA64" s="126">
        <f t="shared" si="14"/>
        <v>0</v>
      </c>
    </row>
    <row r="65" spans="1:27" s="87" customFormat="1" ht="13.5" customHeight="1">
      <c r="A65" s="109"/>
      <c r="B65" s="110"/>
      <c r="C65" s="111" t="s">
        <v>71</v>
      </c>
      <c r="D65" s="148" t="s">
        <v>72</v>
      </c>
      <c r="E65" s="113" t="s">
        <v>2</v>
      </c>
      <c r="F65" s="114">
        <v>1389439</v>
      </c>
      <c r="G65" s="115">
        <v>1</v>
      </c>
      <c r="H65" s="116">
        <f>F65*G65</f>
        <v>1389439</v>
      </c>
      <c r="I65" s="117">
        <v>1</v>
      </c>
      <c r="J65" s="99">
        <f aca="true" t="shared" si="34" ref="J65:J79">+I65*F65</f>
        <v>1389439</v>
      </c>
      <c r="K65" s="118"/>
      <c r="L65" s="99">
        <f aca="true" t="shared" si="35" ref="L65:L79">+K65*F65</f>
        <v>0</v>
      </c>
      <c r="M65" s="118">
        <v>1</v>
      </c>
      <c r="N65" s="99">
        <f aca="true" t="shared" si="36" ref="N65:N79">+M65*F65</f>
        <v>1389439</v>
      </c>
      <c r="O65" s="100">
        <f t="shared" si="3"/>
        <v>0</v>
      </c>
      <c r="P65" s="119">
        <f aca="true" t="shared" si="37" ref="P65:P79">+I65-K65-M65</f>
        <v>0</v>
      </c>
      <c r="Q65" s="120">
        <f>+P65*F65</f>
        <v>0</v>
      </c>
      <c r="R65" s="103">
        <f aca="true" t="shared" si="38" ref="R65:R79">+I65-K65-M65-P65</f>
        <v>0</v>
      </c>
      <c r="S65" s="104">
        <f aca="true" t="shared" si="39" ref="S65:S79">+R65*F65</f>
        <v>0</v>
      </c>
      <c r="T65" s="119">
        <f aca="true" t="shared" si="40" ref="T65:T79">+K65+M65+O65+R65</f>
        <v>1</v>
      </c>
      <c r="U65" s="121"/>
      <c r="V65" s="122">
        <f aca="true" t="shared" si="41" ref="V65:V79">+T65*F65</f>
        <v>1389439</v>
      </c>
      <c r="W65" s="123">
        <f aca="true" t="shared" si="42" ref="W65:W79">+I65-T65</f>
        <v>0</v>
      </c>
      <c r="X65" s="124">
        <f t="shared" si="11"/>
        <v>0</v>
      </c>
      <c r="Y65" s="125">
        <f t="shared" si="12"/>
        <v>0</v>
      </c>
      <c r="Z65" s="126">
        <f t="shared" si="13"/>
        <v>0</v>
      </c>
      <c r="AA65" s="126">
        <f t="shared" si="14"/>
        <v>0</v>
      </c>
    </row>
    <row r="66" spans="1:27" s="87" customFormat="1" ht="13.5" customHeight="1">
      <c r="A66" s="109"/>
      <c r="B66" s="110"/>
      <c r="C66" s="111" t="s">
        <v>73</v>
      </c>
      <c r="D66" s="148" t="s">
        <v>74</v>
      </c>
      <c r="E66" s="113"/>
      <c r="F66" s="114"/>
      <c r="G66" s="115"/>
      <c r="H66" s="116"/>
      <c r="I66" s="117"/>
      <c r="J66" s="99">
        <f t="shared" si="34"/>
        <v>0</v>
      </c>
      <c r="K66" s="118"/>
      <c r="L66" s="99">
        <f t="shared" si="35"/>
        <v>0</v>
      </c>
      <c r="M66" s="118"/>
      <c r="N66" s="99">
        <f t="shared" si="36"/>
        <v>0</v>
      </c>
      <c r="O66" s="100">
        <f t="shared" si="3"/>
        <v>0</v>
      </c>
      <c r="P66" s="119">
        <f t="shared" si="37"/>
        <v>0</v>
      </c>
      <c r="Q66" s="120">
        <f aca="true" t="shared" si="43" ref="Q66:Q79">+P66*F66</f>
        <v>0</v>
      </c>
      <c r="R66" s="103">
        <f t="shared" si="38"/>
        <v>0</v>
      </c>
      <c r="S66" s="104">
        <f t="shared" si="39"/>
        <v>0</v>
      </c>
      <c r="T66" s="119">
        <f t="shared" si="40"/>
        <v>0</v>
      </c>
      <c r="U66" s="121"/>
      <c r="V66" s="122"/>
      <c r="W66" s="123"/>
      <c r="X66" s="124"/>
      <c r="Y66" s="125">
        <f t="shared" si="12"/>
        <v>0</v>
      </c>
      <c r="Z66" s="126">
        <f t="shared" si="13"/>
        <v>0</v>
      </c>
      <c r="AA66" s="126">
        <f t="shared" si="14"/>
        <v>0</v>
      </c>
    </row>
    <row r="67" spans="1:27" s="87" customFormat="1" ht="23.25" customHeight="1">
      <c r="A67" s="109"/>
      <c r="B67" s="110"/>
      <c r="C67" s="111" t="s">
        <v>75</v>
      </c>
      <c r="D67" s="155" t="s">
        <v>76</v>
      </c>
      <c r="E67" s="113" t="s">
        <v>2</v>
      </c>
      <c r="F67" s="114">
        <v>1345646</v>
      </c>
      <c r="G67" s="115">
        <v>2</v>
      </c>
      <c r="H67" s="116">
        <f>F67*G67</f>
        <v>2691292</v>
      </c>
      <c r="I67" s="117">
        <v>3</v>
      </c>
      <c r="J67" s="99">
        <f t="shared" si="34"/>
        <v>4036938</v>
      </c>
      <c r="K67" s="118"/>
      <c r="L67" s="99">
        <f t="shared" si="35"/>
        <v>0</v>
      </c>
      <c r="M67" s="118">
        <v>3</v>
      </c>
      <c r="N67" s="99">
        <f t="shared" si="36"/>
        <v>4036938</v>
      </c>
      <c r="O67" s="100">
        <f t="shared" si="3"/>
        <v>0</v>
      </c>
      <c r="P67" s="119">
        <f t="shared" si="37"/>
        <v>0</v>
      </c>
      <c r="Q67" s="120">
        <f t="shared" si="43"/>
        <v>0</v>
      </c>
      <c r="R67" s="103">
        <f t="shared" si="38"/>
        <v>0</v>
      </c>
      <c r="S67" s="104">
        <f t="shared" si="39"/>
        <v>0</v>
      </c>
      <c r="T67" s="119">
        <f t="shared" si="40"/>
        <v>3</v>
      </c>
      <c r="U67" s="121"/>
      <c r="V67" s="122">
        <f t="shared" si="41"/>
        <v>4036938</v>
      </c>
      <c r="W67" s="123">
        <f t="shared" si="42"/>
        <v>0</v>
      </c>
      <c r="X67" s="124">
        <f t="shared" si="11"/>
        <v>0</v>
      </c>
      <c r="Y67" s="125">
        <f t="shared" si="12"/>
        <v>0</v>
      </c>
      <c r="Z67" s="126">
        <f t="shared" si="13"/>
        <v>0</v>
      </c>
      <c r="AA67" s="126">
        <f t="shared" si="14"/>
        <v>0</v>
      </c>
    </row>
    <row r="68" spans="1:27" s="87" customFormat="1" ht="13.5" customHeight="1">
      <c r="A68" s="109"/>
      <c r="B68" s="110"/>
      <c r="C68" s="111" t="s">
        <v>77</v>
      </c>
      <c r="D68" s="148" t="s">
        <v>300</v>
      </c>
      <c r="E68" s="113" t="s">
        <v>20</v>
      </c>
      <c r="F68" s="114">
        <v>385181</v>
      </c>
      <c r="G68" s="115">
        <v>10.67</v>
      </c>
      <c r="H68" s="116">
        <f>F68*G68</f>
        <v>4109881.27</v>
      </c>
      <c r="I68" s="117">
        <v>0</v>
      </c>
      <c r="J68" s="99">
        <f t="shared" si="34"/>
        <v>0</v>
      </c>
      <c r="K68" s="118"/>
      <c r="L68" s="99">
        <f t="shared" si="35"/>
        <v>0</v>
      </c>
      <c r="M68" s="118"/>
      <c r="N68" s="99">
        <f t="shared" si="36"/>
        <v>0</v>
      </c>
      <c r="O68" s="100">
        <f t="shared" si="3"/>
        <v>0</v>
      </c>
      <c r="P68" s="119">
        <f t="shared" si="37"/>
        <v>0</v>
      </c>
      <c r="Q68" s="120">
        <f t="shared" si="43"/>
        <v>0</v>
      </c>
      <c r="R68" s="103">
        <f t="shared" si="38"/>
        <v>0</v>
      </c>
      <c r="S68" s="104">
        <f t="shared" si="39"/>
        <v>0</v>
      </c>
      <c r="T68" s="119">
        <f t="shared" si="40"/>
        <v>0</v>
      </c>
      <c r="U68" s="121"/>
      <c r="V68" s="122">
        <f t="shared" si="41"/>
        <v>0</v>
      </c>
      <c r="W68" s="123">
        <f t="shared" si="42"/>
        <v>0</v>
      </c>
      <c r="X68" s="124">
        <f t="shared" si="11"/>
        <v>0</v>
      </c>
      <c r="Y68" s="125">
        <f t="shared" si="12"/>
        <v>0</v>
      </c>
      <c r="Z68" s="126">
        <f t="shared" si="13"/>
        <v>0</v>
      </c>
      <c r="AA68" s="126">
        <f t="shared" si="14"/>
        <v>0</v>
      </c>
    </row>
    <row r="69" spans="1:27" s="87" customFormat="1" ht="13.5" customHeight="1">
      <c r="A69" s="109"/>
      <c r="B69" s="110"/>
      <c r="C69" s="111" t="s">
        <v>78</v>
      </c>
      <c r="D69" s="148" t="s">
        <v>79</v>
      </c>
      <c r="E69" s="113" t="s">
        <v>20</v>
      </c>
      <c r="F69" s="114">
        <v>428974</v>
      </c>
      <c r="G69" s="115">
        <v>31</v>
      </c>
      <c r="H69" s="116">
        <f>F69*G69</f>
        <v>13298194</v>
      </c>
      <c r="I69" s="117">
        <v>0</v>
      </c>
      <c r="J69" s="99">
        <f t="shared" si="34"/>
        <v>0</v>
      </c>
      <c r="K69" s="118"/>
      <c r="L69" s="99">
        <f t="shared" si="35"/>
        <v>0</v>
      </c>
      <c r="M69" s="118"/>
      <c r="N69" s="99">
        <f t="shared" si="36"/>
        <v>0</v>
      </c>
      <c r="O69" s="100">
        <f t="shared" si="3"/>
        <v>0</v>
      </c>
      <c r="P69" s="119">
        <f t="shared" si="37"/>
        <v>0</v>
      </c>
      <c r="Q69" s="120">
        <f t="shared" si="43"/>
        <v>0</v>
      </c>
      <c r="R69" s="103">
        <f t="shared" si="38"/>
        <v>0</v>
      </c>
      <c r="S69" s="104">
        <f t="shared" si="39"/>
        <v>0</v>
      </c>
      <c r="T69" s="119">
        <f t="shared" si="40"/>
        <v>0</v>
      </c>
      <c r="U69" s="121"/>
      <c r="V69" s="122">
        <f t="shared" si="41"/>
        <v>0</v>
      </c>
      <c r="W69" s="123">
        <f t="shared" si="42"/>
        <v>0</v>
      </c>
      <c r="X69" s="124">
        <f t="shared" si="11"/>
        <v>0</v>
      </c>
      <c r="Y69" s="125">
        <f t="shared" si="12"/>
        <v>0</v>
      </c>
      <c r="Z69" s="126">
        <f t="shared" si="13"/>
        <v>0</v>
      </c>
      <c r="AA69" s="126">
        <f t="shared" si="14"/>
        <v>0</v>
      </c>
    </row>
    <row r="70" spans="1:27" s="87" customFormat="1" ht="13.5" customHeight="1">
      <c r="A70" s="109"/>
      <c r="B70" s="110"/>
      <c r="C70" s="111" t="s">
        <v>80</v>
      </c>
      <c r="D70" s="148" t="s">
        <v>81</v>
      </c>
      <c r="E70" s="113" t="s">
        <v>2</v>
      </c>
      <c r="F70" s="114">
        <v>1323749</v>
      </c>
      <c r="G70" s="115">
        <v>1</v>
      </c>
      <c r="H70" s="116">
        <f>F70*G70</f>
        <v>1323749</v>
      </c>
      <c r="I70" s="117">
        <v>0</v>
      </c>
      <c r="J70" s="99">
        <f t="shared" si="34"/>
        <v>0</v>
      </c>
      <c r="K70" s="118"/>
      <c r="L70" s="99">
        <f t="shared" si="35"/>
        <v>0</v>
      </c>
      <c r="M70" s="118"/>
      <c r="N70" s="99">
        <f t="shared" si="36"/>
        <v>0</v>
      </c>
      <c r="O70" s="100">
        <f t="shared" si="3"/>
        <v>0</v>
      </c>
      <c r="P70" s="119">
        <f t="shared" si="37"/>
        <v>0</v>
      </c>
      <c r="Q70" s="120">
        <f t="shared" si="43"/>
        <v>0</v>
      </c>
      <c r="R70" s="103">
        <f t="shared" si="38"/>
        <v>0</v>
      </c>
      <c r="S70" s="104">
        <f t="shared" si="39"/>
        <v>0</v>
      </c>
      <c r="T70" s="119">
        <f t="shared" si="40"/>
        <v>0</v>
      </c>
      <c r="U70" s="121"/>
      <c r="V70" s="122">
        <f t="shared" si="41"/>
        <v>0</v>
      </c>
      <c r="W70" s="123">
        <f t="shared" si="42"/>
        <v>0</v>
      </c>
      <c r="X70" s="124">
        <f t="shared" si="11"/>
        <v>0</v>
      </c>
      <c r="Y70" s="125">
        <f t="shared" si="12"/>
        <v>0</v>
      </c>
      <c r="Z70" s="126">
        <f t="shared" si="13"/>
        <v>0</v>
      </c>
      <c r="AA70" s="126">
        <f t="shared" si="14"/>
        <v>0</v>
      </c>
    </row>
    <row r="71" spans="1:27" s="87" customFormat="1" ht="13.5" customHeight="1">
      <c r="A71" s="109"/>
      <c r="B71" s="110"/>
      <c r="C71" s="111" t="s">
        <v>82</v>
      </c>
      <c r="D71" s="148" t="s">
        <v>83</v>
      </c>
      <c r="E71" s="113" t="s">
        <v>2</v>
      </c>
      <c r="F71" s="114">
        <v>954493</v>
      </c>
      <c r="G71" s="115">
        <v>1</v>
      </c>
      <c r="H71" s="116">
        <f>F71*G71</f>
        <v>954493</v>
      </c>
      <c r="I71" s="117">
        <v>0</v>
      </c>
      <c r="J71" s="99">
        <f t="shared" si="34"/>
        <v>0</v>
      </c>
      <c r="K71" s="118"/>
      <c r="L71" s="99">
        <f t="shared" si="35"/>
        <v>0</v>
      </c>
      <c r="M71" s="118"/>
      <c r="N71" s="99">
        <f t="shared" si="36"/>
        <v>0</v>
      </c>
      <c r="O71" s="100">
        <f t="shared" si="3"/>
        <v>0</v>
      </c>
      <c r="P71" s="119">
        <f t="shared" si="37"/>
        <v>0</v>
      </c>
      <c r="Q71" s="120">
        <f t="shared" si="43"/>
        <v>0</v>
      </c>
      <c r="R71" s="103">
        <f t="shared" si="38"/>
        <v>0</v>
      </c>
      <c r="S71" s="104">
        <f t="shared" si="39"/>
        <v>0</v>
      </c>
      <c r="T71" s="119">
        <f t="shared" si="40"/>
        <v>0</v>
      </c>
      <c r="U71" s="121"/>
      <c r="V71" s="122">
        <f t="shared" si="41"/>
        <v>0</v>
      </c>
      <c r="W71" s="123">
        <f t="shared" si="42"/>
        <v>0</v>
      </c>
      <c r="X71" s="124">
        <f t="shared" si="11"/>
        <v>0</v>
      </c>
      <c r="Y71" s="125">
        <f t="shared" si="12"/>
        <v>0</v>
      </c>
      <c r="Z71" s="126">
        <f t="shared" si="13"/>
        <v>0</v>
      </c>
      <c r="AA71" s="126">
        <f t="shared" si="14"/>
        <v>0</v>
      </c>
    </row>
    <row r="72" spans="1:27" s="87" customFormat="1" ht="13.5" customHeight="1">
      <c r="A72" s="109"/>
      <c r="B72" s="110"/>
      <c r="C72" s="111" t="s">
        <v>84</v>
      </c>
      <c r="D72" s="156" t="s">
        <v>85</v>
      </c>
      <c r="E72" s="113"/>
      <c r="F72" s="114"/>
      <c r="G72" s="115"/>
      <c r="H72" s="116"/>
      <c r="I72" s="117"/>
      <c r="J72" s="99"/>
      <c r="K72" s="118"/>
      <c r="L72" s="99">
        <f t="shared" si="35"/>
        <v>0</v>
      </c>
      <c r="M72" s="118"/>
      <c r="N72" s="99">
        <f t="shared" si="36"/>
        <v>0</v>
      </c>
      <c r="O72" s="100">
        <f t="shared" si="3"/>
        <v>0</v>
      </c>
      <c r="P72" s="119">
        <f t="shared" si="37"/>
        <v>0</v>
      </c>
      <c r="Q72" s="120">
        <f t="shared" si="43"/>
        <v>0</v>
      </c>
      <c r="R72" s="103">
        <f t="shared" si="38"/>
        <v>0</v>
      </c>
      <c r="S72" s="104">
        <f t="shared" si="39"/>
        <v>0</v>
      </c>
      <c r="T72" s="119">
        <f t="shared" si="40"/>
        <v>0</v>
      </c>
      <c r="U72" s="121"/>
      <c r="V72" s="122"/>
      <c r="W72" s="123"/>
      <c r="X72" s="124"/>
      <c r="Y72" s="125">
        <f t="shared" si="12"/>
        <v>0</v>
      </c>
      <c r="Z72" s="126">
        <f t="shared" si="13"/>
        <v>0</v>
      </c>
      <c r="AA72" s="126">
        <f t="shared" si="14"/>
        <v>0</v>
      </c>
    </row>
    <row r="73" spans="1:27" s="87" customFormat="1" ht="13.5" customHeight="1">
      <c r="A73" s="109"/>
      <c r="B73" s="110"/>
      <c r="C73" s="111" t="s">
        <v>86</v>
      </c>
      <c r="D73" s="148" t="s">
        <v>87</v>
      </c>
      <c r="E73" s="113" t="s">
        <v>2</v>
      </c>
      <c r="F73" s="114">
        <v>1635278</v>
      </c>
      <c r="G73" s="115">
        <v>1</v>
      </c>
      <c r="H73" s="116">
        <f aca="true" t="shared" si="44" ref="H73:H79">F73*G73</f>
        <v>1635278</v>
      </c>
      <c r="I73" s="117">
        <v>1</v>
      </c>
      <c r="J73" s="99">
        <f t="shared" si="34"/>
        <v>1635278</v>
      </c>
      <c r="K73" s="118"/>
      <c r="L73" s="99">
        <f t="shared" si="35"/>
        <v>0</v>
      </c>
      <c r="M73" s="118">
        <v>1</v>
      </c>
      <c r="N73" s="99">
        <f t="shared" si="36"/>
        <v>1635278</v>
      </c>
      <c r="O73" s="100">
        <f t="shared" si="3"/>
        <v>0</v>
      </c>
      <c r="P73" s="119">
        <f t="shared" si="37"/>
        <v>0</v>
      </c>
      <c r="Q73" s="120">
        <f t="shared" si="43"/>
        <v>0</v>
      </c>
      <c r="R73" s="103">
        <f t="shared" si="38"/>
        <v>0</v>
      </c>
      <c r="S73" s="104">
        <f t="shared" si="39"/>
        <v>0</v>
      </c>
      <c r="T73" s="119">
        <f t="shared" si="40"/>
        <v>1</v>
      </c>
      <c r="U73" s="121"/>
      <c r="V73" s="122">
        <f t="shared" si="41"/>
        <v>1635278</v>
      </c>
      <c r="W73" s="123">
        <f t="shared" si="42"/>
        <v>0</v>
      </c>
      <c r="X73" s="124">
        <f t="shared" si="11"/>
        <v>0</v>
      </c>
      <c r="Y73" s="125">
        <f t="shared" si="12"/>
        <v>0</v>
      </c>
      <c r="Z73" s="126">
        <f t="shared" si="13"/>
        <v>0</v>
      </c>
      <c r="AA73" s="126">
        <f t="shared" si="14"/>
        <v>0</v>
      </c>
    </row>
    <row r="74" spans="1:27" s="87" customFormat="1" ht="13.5" customHeight="1">
      <c r="A74" s="109"/>
      <c r="B74" s="110"/>
      <c r="C74" s="111" t="s">
        <v>88</v>
      </c>
      <c r="D74" s="148" t="s">
        <v>89</v>
      </c>
      <c r="E74" s="113" t="s">
        <v>20</v>
      </c>
      <c r="F74" s="114">
        <v>405087</v>
      </c>
      <c r="G74" s="115">
        <v>6.09</v>
      </c>
      <c r="H74" s="116">
        <f t="shared" si="44"/>
        <v>2466979.83</v>
      </c>
      <c r="I74" s="117">
        <v>0</v>
      </c>
      <c r="J74" s="99">
        <f t="shared" si="34"/>
        <v>0</v>
      </c>
      <c r="K74" s="118"/>
      <c r="L74" s="99">
        <f t="shared" si="35"/>
        <v>0</v>
      </c>
      <c r="M74" s="118"/>
      <c r="N74" s="99">
        <f t="shared" si="36"/>
        <v>0</v>
      </c>
      <c r="O74" s="100">
        <f t="shared" si="3"/>
        <v>0</v>
      </c>
      <c r="P74" s="119">
        <f t="shared" si="37"/>
        <v>0</v>
      </c>
      <c r="Q74" s="120">
        <f t="shared" si="43"/>
        <v>0</v>
      </c>
      <c r="R74" s="103">
        <f t="shared" si="38"/>
        <v>0</v>
      </c>
      <c r="S74" s="104">
        <f t="shared" si="39"/>
        <v>0</v>
      </c>
      <c r="T74" s="119">
        <f t="shared" si="40"/>
        <v>0</v>
      </c>
      <c r="U74" s="121"/>
      <c r="V74" s="122">
        <f t="shared" si="41"/>
        <v>0</v>
      </c>
      <c r="W74" s="123">
        <f t="shared" si="42"/>
        <v>0</v>
      </c>
      <c r="X74" s="124">
        <f t="shared" si="11"/>
        <v>0</v>
      </c>
      <c r="Y74" s="125">
        <f t="shared" si="12"/>
        <v>0</v>
      </c>
      <c r="Z74" s="126">
        <f t="shared" si="13"/>
        <v>0</v>
      </c>
      <c r="AA74" s="126">
        <f t="shared" si="14"/>
        <v>0</v>
      </c>
    </row>
    <row r="75" spans="1:27" s="87" customFormat="1" ht="13.5" customHeight="1">
      <c r="A75" s="109"/>
      <c r="B75" s="110"/>
      <c r="C75" s="111" t="s">
        <v>90</v>
      </c>
      <c r="D75" s="148" t="s">
        <v>91</v>
      </c>
      <c r="E75" s="113" t="s">
        <v>20</v>
      </c>
      <c r="F75" s="114">
        <v>342383</v>
      </c>
      <c r="G75" s="115">
        <v>12</v>
      </c>
      <c r="H75" s="116">
        <f t="shared" si="44"/>
        <v>4108596</v>
      </c>
      <c r="I75" s="117">
        <v>13.2</v>
      </c>
      <c r="J75" s="99">
        <f t="shared" si="34"/>
        <v>4519455.6</v>
      </c>
      <c r="K75" s="118"/>
      <c r="L75" s="99">
        <f t="shared" si="35"/>
        <v>0</v>
      </c>
      <c r="M75" s="118">
        <v>13</v>
      </c>
      <c r="N75" s="99">
        <f t="shared" si="36"/>
        <v>4450979</v>
      </c>
      <c r="O75" s="100">
        <f t="shared" si="3"/>
        <v>0.1999999999999993</v>
      </c>
      <c r="P75" s="119">
        <f t="shared" si="37"/>
        <v>0.1999999999999993</v>
      </c>
      <c r="Q75" s="120">
        <f t="shared" si="43"/>
        <v>68476.59999999976</v>
      </c>
      <c r="R75" s="103">
        <f t="shared" si="38"/>
        <v>0</v>
      </c>
      <c r="S75" s="104">
        <f t="shared" si="39"/>
        <v>0</v>
      </c>
      <c r="T75" s="119">
        <f t="shared" si="40"/>
        <v>13.2</v>
      </c>
      <c r="U75" s="121"/>
      <c r="V75" s="122">
        <f t="shared" si="41"/>
        <v>4519455.6</v>
      </c>
      <c r="W75" s="123">
        <f t="shared" si="42"/>
        <v>0</v>
      </c>
      <c r="X75" s="124">
        <f t="shared" si="11"/>
        <v>0</v>
      </c>
      <c r="Y75" s="125">
        <f t="shared" si="12"/>
        <v>0</v>
      </c>
      <c r="Z75" s="126">
        <f t="shared" si="13"/>
        <v>0</v>
      </c>
      <c r="AA75" s="126">
        <f t="shared" si="14"/>
        <v>68476.59999999976</v>
      </c>
    </row>
    <row r="76" spans="1:27" s="87" customFormat="1" ht="13.5" customHeight="1">
      <c r="A76" s="109"/>
      <c r="B76" s="110"/>
      <c r="C76" s="111" t="s">
        <v>92</v>
      </c>
      <c r="D76" s="148" t="s">
        <v>28</v>
      </c>
      <c r="E76" s="113" t="s">
        <v>2</v>
      </c>
      <c r="F76" s="114">
        <v>281670</v>
      </c>
      <c r="G76" s="115">
        <v>5</v>
      </c>
      <c r="H76" s="116">
        <f t="shared" si="44"/>
        <v>1408350</v>
      </c>
      <c r="I76" s="117">
        <v>7</v>
      </c>
      <c r="J76" s="99">
        <f t="shared" si="34"/>
        <v>1971690</v>
      </c>
      <c r="K76" s="118"/>
      <c r="L76" s="99">
        <f t="shared" si="35"/>
        <v>0</v>
      </c>
      <c r="M76" s="118">
        <v>7</v>
      </c>
      <c r="N76" s="99">
        <f t="shared" si="36"/>
        <v>1971690</v>
      </c>
      <c r="O76" s="100">
        <f t="shared" si="3"/>
        <v>0</v>
      </c>
      <c r="P76" s="119">
        <f t="shared" si="37"/>
        <v>0</v>
      </c>
      <c r="Q76" s="120">
        <f t="shared" si="43"/>
        <v>0</v>
      </c>
      <c r="R76" s="103">
        <f t="shared" si="38"/>
        <v>0</v>
      </c>
      <c r="S76" s="104">
        <f t="shared" si="39"/>
        <v>0</v>
      </c>
      <c r="T76" s="119">
        <f t="shared" si="40"/>
        <v>7</v>
      </c>
      <c r="U76" s="121"/>
      <c r="V76" s="122">
        <f t="shared" si="41"/>
        <v>1971690</v>
      </c>
      <c r="W76" s="123">
        <f t="shared" si="42"/>
        <v>0</v>
      </c>
      <c r="X76" s="124">
        <f t="shared" si="11"/>
        <v>0</v>
      </c>
      <c r="Y76" s="125">
        <f t="shared" si="12"/>
        <v>0</v>
      </c>
      <c r="Z76" s="126">
        <f t="shared" si="13"/>
        <v>0</v>
      </c>
      <c r="AA76" s="126">
        <f t="shared" si="14"/>
        <v>0</v>
      </c>
    </row>
    <row r="77" spans="1:27" s="87" customFormat="1" ht="13.5" customHeight="1">
      <c r="A77" s="109"/>
      <c r="B77" s="110"/>
      <c r="C77" s="111" t="s">
        <v>93</v>
      </c>
      <c r="D77" s="148" t="s">
        <v>94</v>
      </c>
      <c r="E77" s="113" t="s">
        <v>2</v>
      </c>
      <c r="F77" s="114">
        <v>211004</v>
      </c>
      <c r="G77" s="115">
        <v>8</v>
      </c>
      <c r="H77" s="116">
        <f t="shared" si="44"/>
        <v>1688032</v>
      </c>
      <c r="I77" s="117">
        <v>10</v>
      </c>
      <c r="J77" s="99">
        <f t="shared" si="34"/>
        <v>2110040</v>
      </c>
      <c r="K77" s="118"/>
      <c r="L77" s="99">
        <f t="shared" si="35"/>
        <v>0</v>
      </c>
      <c r="M77" s="118">
        <v>10</v>
      </c>
      <c r="N77" s="99">
        <f t="shared" si="36"/>
        <v>2110040</v>
      </c>
      <c r="O77" s="100">
        <f t="shared" si="3"/>
        <v>0</v>
      </c>
      <c r="P77" s="119">
        <f t="shared" si="37"/>
        <v>0</v>
      </c>
      <c r="Q77" s="120">
        <f t="shared" si="43"/>
        <v>0</v>
      </c>
      <c r="R77" s="103">
        <f t="shared" si="38"/>
        <v>0</v>
      </c>
      <c r="S77" s="104">
        <f t="shared" si="39"/>
        <v>0</v>
      </c>
      <c r="T77" s="119">
        <f t="shared" si="40"/>
        <v>10</v>
      </c>
      <c r="U77" s="121"/>
      <c r="V77" s="122">
        <f t="shared" si="41"/>
        <v>2110040</v>
      </c>
      <c r="W77" s="123">
        <f t="shared" si="42"/>
        <v>0</v>
      </c>
      <c r="X77" s="124">
        <f t="shared" si="11"/>
        <v>0</v>
      </c>
      <c r="Y77" s="125">
        <f t="shared" si="12"/>
        <v>0</v>
      </c>
      <c r="Z77" s="126">
        <f t="shared" si="13"/>
        <v>0</v>
      </c>
      <c r="AA77" s="126">
        <f t="shared" si="14"/>
        <v>0</v>
      </c>
    </row>
    <row r="78" spans="1:27" s="87" customFormat="1" ht="13.5" customHeight="1">
      <c r="A78" s="109"/>
      <c r="B78" s="110"/>
      <c r="C78" s="111" t="s">
        <v>95</v>
      </c>
      <c r="D78" s="148" t="s">
        <v>226</v>
      </c>
      <c r="E78" s="113" t="s">
        <v>2</v>
      </c>
      <c r="F78" s="114">
        <v>281670</v>
      </c>
      <c r="G78" s="115">
        <v>8</v>
      </c>
      <c r="H78" s="116">
        <f t="shared" si="44"/>
        <v>2253360</v>
      </c>
      <c r="I78" s="117">
        <v>0</v>
      </c>
      <c r="J78" s="99">
        <f t="shared" si="34"/>
        <v>0</v>
      </c>
      <c r="K78" s="118"/>
      <c r="L78" s="99">
        <f t="shared" si="35"/>
        <v>0</v>
      </c>
      <c r="M78" s="118"/>
      <c r="N78" s="99">
        <f t="shared" si="36"/>
        <v>0</v>
      </c>
      <c r="O78" s="100">
        <f t="shared" si="3"/>
        <v>0</v>
      </c>
      <c r="P78" s="119">
        <f t="shared" si="37"/>
        <v>0</v>
      </c>
      <c r="Q78" s="120">
        <f t="shared" si="43"/>
        <v>0</v>
      </c>
      <c r="R78" s="103">
        <f t="shared" si="38"/>
        <v>0</v>
      </c>
      <c r="S78" s="104">
        <f t="shared" si="39"/>
        <v>0</v>
      </c>
      <c r="T78" s="119">
        <f t="shared" si="40"/>
        <v>0</v>
      </c>
      <c r="U78" s="121"/>
      <c r="V78" s="122">
        <f t="shared" si="41"/>
        <v>0</v>
      </c>
      <c r="W78" s="123">
        <f t="shared" si="42"/>
        <v>0</v>
      </c>
      <c r="X78" s="124">
        <f t="shared" si="11"/>
        <v>0</v>
      </c>
      <c r="Y78" s="125">
        <f t="shared" si="12"/>
        <v>0</v>
      </c>
      <c r="Z78" s="126">
        <f t="shared" si="13"/>
        <v>0</v>
      </c>
      <c r="AA78" s="126">
        <f t="shared" si="14"/>
        <v>0</v>
      </c>
    </row>
    <row r="79" spans="1:27" s="87" customFormat="1" ht="13.5" customHeight="1">
      <c r="A79" s="109"/>
      <c r="B79" s="110"/>
      <c r="C79" s="111" t="s">
        <v>97</v>
      </c>
      <c r="D79" s="148" t="s">
        <v>98</v>
      </c>
      <c r="E79" s="113" t="s">
        <v>2</v>
      </c>
      <c r="F79" s="114">
        <v>912690</v>
      </c>
      <c r="G79" s="115">
        <v>2</v>
      </c>
      <c r="H79" s="116">
        <f t="shared" si="44"/>
        <v>1825380</v>
      </c>
      <c r="I79" s="117">
        <v>2</v>
      </c>
      <c r="J79" s="99">
        <f t="shared" si="34"/>
        <v>1825380</v>
      </c>
      <c r="K79" s="118"/>
      <c r="L79" s="99">
        <f t="shared" si="35"/>
        <v>0</v>
      </c>
      <c r="M79" s="118">
        <v>2</v>
      </c>
      <c r="N79" s="99">
        <f t="shared" si="36"/>
        <v>1825380</v>
      </c>
      <c r="O79" s="100">
        <f t="shared" si="3"/>
        <v>0</v>
      </c>
      <c r="P79" s="119">
        <f t="shared" si="37"/>
        <v>0</v>
      </c>
      <c r="Q79" s="120">
        <f t="shared" si="43"/>
        <v>0</v>
      </c>
      <c r="R79" s="103">
        <f t="shared" si="38"/>
        <v>0</v>
      </c>
      <c r="S79" s="104">
        <f t="shared" si="39"/>
        <v>0</v>
      </c>
      <c r="T79" s="119">
        <f t="shared" si="40"/>
        <v>2</v>
      </c>
      <c r="U79" s="121"/>
      <c r="V79" s="122">
        <f t="shared" si="41"/>
        <v>1825380</v>
      </c>
      <c r="W79" s="123">
        <f t="shared" si="42"/>
        <v>0</v>
      </c>
      <c r="X79" s="124">
        <f t="shared" si="11"/>
        <v>0</v>
      </c>
      <c r="Y79" s="125">
        <f t="shared" si="12"/>
        <v>0</v>
      </c>
      <c r="Z79" s="126">
        <f t="shared" si="13"/>
        <v>0</v>
      </c>
      <c r="AA79" s="126">
        <f t="shared" si="14"/>
        <v>0</v>
      </c>
    </row>
    <row r="80" spans="1:27" s="87" customFormat="1" ht="13.5" customHeight="1">
      <c r="A80" s="109"/>
      <c r="B80" s="110"/>
      <c r="C80" s="90"/>
      <c r="D80" s="129" t="s">
        <v>31</v>
      </c>
      <c r="E80" s="130"/>
      <c r="F80" s="131"/>
      <c r="G80" s="132"/>
      <c r="H80" s="151">
        <f>SUM(H65:H79)</f>
        <v>39153024.1</v>
      </c>
      <c r="I80" s="134"/>
      <c r="J80" s="152">
        <f>SUM(J65:J79)</f>
        <v>17488220.6</v>
      </c>
      <c r="K80" s="153"/>
      <c r="L80" s="152">
        <f>SUM(L65:L79)</f>
        <v>0</v>
      </c>
      <c r="M80" s="153"/>
      <c r="N80" s="152">
        <f>SUM(N65:N79)</f>
        <v>17419744</v>
      </c>
      <c r="O80" s="100">
        <f t="shared" si="3"/>
        <v>0</v>
      </c>
      <c r="P80" s="137"/>
      <c r="Q80" s="151">
        <f>SUM(Q65:Q79)</f>
        <v>68476.59999999976</v>
      </c>
      <c r="R80" s="154"/>
      <c r="S80" s="151">
        <f>SUM(S65:S79)</f>
        <v>0</v>
      </c>
      <c r="T80" s="137"/>
      <c r="U80" s="139"/>
      <c r="V80" s="152">
        <f>SUM(V65:V79)</f>
        <v>17488220.6</v>
      </c>
      <c r="W80" s="140"/>
      <c r="X80" s="141">
        <f>SUM(X65:X79)</f>
        <v>0</v>
      </c>
      <c r="Y80" s="125">
        <f t="shared" si="12"/>
        <v>0</v>
      </c>
      <c r="Z80" s="126">
        <f t="shared" si="13"/>
        <v>0</v>
      </c>
      <c r="AA80" s="126">
        <f t="shared" si="14"/>
        <v>68476.59999999976</v>
      </c>
    </row>
    <row r="81" spans="1:27" s="87" customFormat="1" ht="13.5" customHeight="1">
      <c r="A81" s="109">
        <v>8</v>
      </c>
      <c r="B81" s="110"/>
      <c r="C81" s="90"/>
      <c r="D81" s="655" t="s">
        <v>99</v>
      </c>
      <c r="E81" s="656"/>
      <c r="F81" s="656"/>
      <c r="G81" s="656"/>
      <c r="H81" s="657"/>
      <c r="I81" s="117"/>
      <c r="J81" s="99"/>
      <c r="K81" s="118"/>
      <c r="L81" s="99"/>
      <c r="M81" s="118"/>
      <c r="N81" s="99"/>
      <c r="O81" s="100">
        <f t="shared" si="3"/>
        <v>0</v>
      </c>
      <c r="P81" s="119"/>
      <c r="Q81" s="120"/>
      <c r="R81" s="103"/>
      <c r="S81" s="104"/>
      <c r="T81" s="119"/>
      <c r="U81" s="121"/>
      <c r="V81" s="122"/>
      <c r="W81" s="147"/>
      <c r="X81" s="157"/>
      <c r="Y81" s="125">
        <f t="shared" si="12"/>
        <v>0</v>
      </c>
      <c r="Z81" s="126">
        <f t="shared" si="13"/>
        <v>0</v>
      </c>
      <c r="AA81" s="126">
        <f t="shared" si="14"/>
        <v>0</v>
      </c>
    </row>
    <row r="82" spans="1:27" s="87" customFormat="1" ht="13.5" customHeight="1">
      <c r="A82" s="109"/>
      <c r="B82" s="110"/>
      <c r="C82" s="111" t="s">
        <v>100</v>
      </c>
      <c r="D82" s="142" t="s">
        <v>101</v>
      </c>
      <c r="E82" s="113"/>
      <c r="F82" s="114"/>
      <c r="G82" s="115"/>
      <c r="H82" s="116"/>
      <c r="I82" s="117"/>
      <c r="J82" s="99"/>
      <c r="K82" s="118"/>
      <c r="L82" s="99"/>
      <c r="M82" s="118"/>
      <c r="N82" s="99"/>
      <c r="O82" s="100">
        <f t="shared" si="3"/>
        <v>0</v>
      </c>
      <c r="P82" s="119"/>
      <c r="Q82" s="120"/>
      <c r="R82" s="103"/>
      <c r="S82" s="104"/>
      <c r="T82" s="119"/>
      <c r="U82" s="121"/>
      <c r="V82" s="122"/>
      <c r="W82" s="147"/>
      <c r="X82" s="157"/>
      <c r="Y82" s="125">
        <f t="shared" si="12"/>
        <v>0</v>
      </c>
      <c r="Z82" s="126">
        <f t="shared" si="13"/>
        <v>0</v>
      </c>
      <c r="AA82" s="126">
        <f t="shared" si="14"/>
        <v>0</v>
      </c>
    </row>
    <row r="83" spans="1:27" s="87" customFormat="1" ht="13.5" customHeight="1">
      <c r="A83" s="109"/>
      <c r="B83" s="110"/>
      <c r="C83" s="158" t="s">
        <v>102</v>
      </c>
      <c r="D83" s="159" t="s">
        <v>103</v>
      </c>
      <c r="E83" s="160" t="s">
        <v>2</v>
      </c>
      <c r="F83" s="161">
        <v>1559635</v>
      </c>
      <c r="G83" s="162">
        <v>4</v>
      </c>
      <c r="H83" s="163">
        <f aca="true" t="shared" si="45" ref="H83:H89">F83*G83</f>
        <v>6238540</v>
      </c>
      <c r="I83" s="117">
        <v>4</v>
      </c>
      <c r="J83" s="99">
        <f aca="true" t="shared" si="46" ref="J83:J97">+I83*F83</f>
        <v>6238540</v>
      </c>
      <c r="K83" s="118"/>
      <c r="L83" s="99">
        <f aca="true" t="shared" si="47" ref="L83:L97">+K83*F83</f>
        <v>0</v>
      </c>
      <c r="M83" s="118">
        <v>4</v>
      </c>
      <c r="N83" s="99">
        <f aca="true" t="shared" si="48" ref="N83:N97">+M83*F83</f>
        <v>6238540</v>
      </c>
      <c r="O83" s="100">
        <f aca="true" t="shared" si="49" ref="O83:O146">+I83-K83-M83</f>
        <v>0</v>
      </c>
      <c r="P83" s="119">
        <f aca="true" t="shared" si="50" ref="P83:P97">+I83-K83-M83</f>
        <v>0</v>
      </c>
      <c r="Q83" s="120">
        <f aca="true" t="shared" si="51" ref="Q83:Q97">+P83*F83</f>
        <v>0</v>
      </c>
      <c r="R83" s="103">
        <f aca="true" t="shared" si="52" ref="R83:R97">+I83-K83-M83-P83</f>
        <v>0</v>
      </c>
      <c r="S83" s="104">
        <f aca="true" t="shared" si="53" ref="S83:S97">+R83*F83</f>
        <v>0</v>
      </c>
      <c r="T83" s="119">
        <f aca="true" t="shared" si="54" ref="T83:T97">+K83+M83+O83+R83</f>
        <v>4</v>
      </c>
      <c r="U83" s="121"/>
      <c r="V83" s="122">
        <f aca="true" t="shared" si="55" ref="V83:V97">+T83*F83</f>
        <v>6238540</v>
      </c>
      <c r="W83" s="123">
        <f aca="true" t="shared" si="56" ref="W83:W97">+I83-T83</f>
        <v>0</v>
      </c>
      <c r="X83" s="124">
        <f aca="true" t="shared" si="57" ref="X83:X97">+W83*F83</f>
        <v>0</v>
      </c>
      <c r="Y83" s="125">
        <f aca="true" t="shared" si="58" ref="Y83:Y146">+J83-V83</f>
        <v>0</v>
      </c>
      <c r="Z83" s="126">
        <f aca="true" t="shared" si="59" ref="Z83:Z146">+X83-Y83</f>
        <v>0</v>
      </c>
      <c r="AA83" s="126">
        <f aca="true" t="shared" si="60" ref="AA83:AA146">+Q83</f>
        <v>0</v>
      </c>
    </row>
    <row r="84" spans="1:27" s="87" customFormat="1" ht="13.5" customHeight="1">
      <c r="A84" s="109"/>
      <c r="B84" s="110"/>
      <c r="C84" s="111" t="s">
        <v>104</v>
      </c>
      <c r="D84" s="164" t="s">
        <v>26</v>
      </c>
      <c r="E84" s="113" t="s">
        <v>20</v>
      </c>
      <c r="F84" s="114">
        <v>476749</v>
      </c>
      <c r="G84" s="115">
        <v>32.67</v>
      </c>
      <c r="H84" s="116">
        <f t="shared" si="45"/>
        <v>15575389.83</v>
      </c>
      <c r="I84" s="117">
        <v>38.1</v>
      </c>
      <c r="J84" s="99">
        <f t="shared" si="46"/>
        <v>18164136.900000002</v>
      </c>
      <c r="K84" s="118"/>
      <c r="L84" s="99">
        <f t="shared" si="47"/>
        <v>0</v>
      </c>
      <c r="M84" s="118">
        <v>20.5</v>
      </c>
      <c r="N84" s="99">
        <f t="shared" si="48"/>
        <v>9773354.5</v>
      </c>
      <c r="O84" s="128">
        <v>0</v>
      </c>
      <c r="P84" s="119">
        <v>0</v>
      </c>
      <c r="Q84" s="120">
        <f t="shared" si="51"/>
        <v>0</v>
      </c>
      <c r="R84" s="103">
        <f t="shared" si="52"/>
        <v>17.6</v>
      </c>
      <c r="S84" s="104">
        <f t="shared" si="53"/>
        <v>8390782.4</v>
      </c>
      <c r="T84" s="119">
        <f t="shared" si="54"/>
        <v>38.1</v>
      </c>
      <c r="U84" s="121"/>
      <c r="V84" s="122">
        <f t="shared" si="55"/>
        <v>18164136.900000002</v>
      </c>
      <c r="W84" s="123">
        <f t="shared" si="56"/>
        <v>0</v>
      </c>
      <c r="X84" s="124">
        <f t="shared" si="57"/>
        <v>0</v>
      </c>
      <c r="Y84" s="125">
        <f t="shared" si="58"/>
        <v>0</v>
      </c>
      <c r="Z84" s="126">
        <f t="shared" si="59"/>
        <v>0</v>
      </c>
      <c r="AA84" s="126">
        <f t="shared" si="60"/>
        <v>0</v>
      </c>
    </row>
    <row r="85" spans="1:27" s="87" customFormat="1" ht="13.5" customHeight="1">
      <c r="A85" s="109"/>
      <c r="B85" s="110"/>
      <c r="C85" s="111" t="s">
        <v>105</v>
      </c>
      <c r="D85" s="148" t="s">
        <v>106</v>
      </c>
      <c r="E85" s="113" t="s">
        <v>2</v>
      </c>
      <c r="F85" s="114">
        <v>1189384</v>
      </c>
      <c r="G85" s="115">
        <v>3</v>
      </c>
      <c r="H85" s="116">
        <f t="shared" si="45"/>
        <v>3568152</v>
      </c>
      <c r="I85" s="117">
        <v>3</v>
      </c>
      <c r="J85" s="99">
        <f t="shared" si="46"/>
        <v>3568152</v>
      </c>
      <c r="K85" s="118"/>
      <c r="L85" s="99">
        <f t="shared" si="47"/>
        <v>0</v>
      </c>
      <c r="M85" s="118">
        <v>3</v>
      </c>
      <c r="N85" s="99">
        <f t="shared" si="48"/>
        <v>3568152</v>
      </c>
      <c r="O85" s="100">
        <f t="shared" si="49"/>
        <v>0</v>
      </c>
      <c r="P85" s="119">
        <f t="shared" si="50"/>
        <v>0</v>
      </c>
      <c r="Q85" s="120">
        <f t="shared" si="51"/>
        <v>0</v>
      </c>
      <c r="R85" s="103">
        <f t="shared" si="52"/>
        <v>0</v>
      </c>
      <c r="S85" s="104">
        <f t="shared" si="53"/>
        <v>0</v>
      </c>
      <c r="T85" s="119">
        <f t="shared" si="54"/>
        <v>3</v>
      </c>
      <c r="U85" s="121"/>
      <c r="V85" s="122">
        <f t="shared" si="55"/>
        <v>3568152</v>
      </c>
      <c r="W85" s="123">
        <f t="shared" si="56"/>
        <v>0</v>
      </c>
      <c r="X85" s="124">
        <f t="shared" si="57"/>
        <v>0</v>
      </c>
      <c r="Y85" s="125">
        <f t="shared" si="58"/>
        <v>0</v>
      </c>
      <c r="Z85" s="126">
        <f t="shared" si="59"/>
        <v>0</v>
      </c>
      <c r="AA85" s="126">
        <f t="shared" si="60"/>
        <v>0</v>
      </c>
    </row>
    <row r="86" spans="1:27" s="87" customFormat="1" ht="13.5" customHeight="1">
      <c r="A86" s="109"/>
      <c r="B86" s="110"/>
      <c r="C86" s="111" t="s">
        <v>107</v>
      </c>
      <c r="D86" s="148" t="s">
        <v>108</v>
      </c>
      <c r="E86" s="113" t="s">
        <v>2</v>
      </c>
      <c r="F86" s="114">
        <v>593199</v>
      </c>
      <c r="G86" s="115">
        <v>12</v>
      </c>
      <c r="H86" s="116">
        <f t="shared" si="45"/>
        <v>7118388</v>
      </c>
      <c r="I86" s="117">
        <v>12</v>
      </c>
      <c r="J86" s="99">
        <f t="shared" si="46"/>
        <v>7118388</v>
      </c>
      <c r="K86" s="118"/>
      <c r="L86" s="99">
        <f t="shared" si="47"/>
        <v>0</v>
      </c>
      <c r="M86" s="118">
        <v>1</v>
      </c>
      <c r="N86" s="99">
        <f t="shared" si="48"/>
        <v>593199</v>
      </c>
      <c r="O86" s="100">
        <f t="shared" si="49"/>
        <v>11</v>
      </c>
      <c r="P86" s="119">
        <f t="shared" si="50"/>
        <v>11</v>
      </c>
      <c r="Q86" s="120">
        <f t="shared" si="51"/>
        <v>6525189</v>
      </c>
      <c r="R86" s="103">
        <f t="shared" si="52"/>
        <v>0</v>
      </c>
      <c r="S86" s="104">
        <f t="shared" si="53"/>
        <v>0</v>
      </c>
      <c r="T86" s="119">
        <f t="shared" si="54"/>
        <v>12</v>
      </c>
      <c r="U86" s="121"/>
      <c r="V86" s="122">
        <f t="shared" si="55"/>
        <v>7118388</v>
      </c>
      <c r="W86" s="123">
        <f t="shared" si="56"/>
        <v>0</v>
      </c>
      <c r="X86" s="124">
        <f t="shared" si="57"/>
        <v>0</v>
      </c>
      <c r="Y86" s="125">
        <f t="shared" si="58"/>
        <v>0</v>
      </c>
      <c r="Z86" s="126">
        <f t="shared" si="59"/>
        <v>0</v>
      </c>
      <c r="AA86" s="126">
        <f t="shared" si="60"/>
        <v>6525189</v>
      </c>
    </row>
    <row r="87" spans="1:27" s="87" customFormat="1" ht="13.5" customHeight="1">
      <c r="A87" s="109"/>
      <c r="B87" s="110"/>
      <c r="C87" s="111" t="s">
        <v>109</v>
      </c>
      <c r="D87" s="148" t="s">
        <v>79</v>
      </c>
      <c r="E87" s="113" t="s">
        <v>20</v>
      </c>
      <c r="F87" s="114">
        <v>404092</v>
      </c>
      <c r="G87" s="115">
        <v>22.01</v>
      </c>
      <c r="H87" s="116">
        <f t="shared" si="45"/>
        <v>8894064.92</v>
      </c>
      <c r="I87" s="117">
        <v>0</v>
      </c>
      <c r="J87" s="99">
        <f t="shared" si="46"/>
        <v>0</v>
      </c>
      <c r="K87" s="118"/>
      <c r="L87" s="99">
        <f t="shared" si="47"/>
        <v>0</v>
      </c>
      <c r="M87" s="118"/>
      <c r="N87" s="99">
        <f t="shared" si="48"/>
        <v>0</v>
      </c>
      <c r="O87" s="100">
        <f t="shared" si="49"/>
        <v>0</v>
      </c>
      <c r="P87" s="119">
        <f t="shared" si="50"/>
        <v>0</v>
      </c>
      <c r="Q87" s="120">
        <f t="shared" si="51"/>
        <v>0</v>
      </c>
      <c r="R87" s="103">
        <f t="shared" si="52"/>
        <v>0</v>
      </c>
      <c r="S87" s="104">
        <f t="shared" si="53"/>
        <v>0</v>
      </c>
      <c r="T87" s="119">
        <f t="shared" si="54"/>
        <v>0</v>
      </c>
      <c r="U87" s="121"/>
      <c r="V87" s="122">
        <f t="shared" si="55"/>
        <v>0</v>
      </c>
      <c r="W87" s="123">
        <f t="shared" si="56"/>
        <v>0</v>
      </c>
      <c r="X87" s="124">
        <f t="shared" si="57"/>
        <v>0</v>
      </c>
      <c r="Y87" s="125">
        <f t="shared" si="58"/>
        <v>0</v>
      </c>
      <c r="Z87" s="126">
        <f t="shared" si="59"/>
        <v>0</v>
      </c>
      <c r="AA87" s="126">
        <f t="shared" si="60"/>
        <v>0</v>
      </c>
    </row>
    <row r="88" spans="1:27" s="87" customFormat="1" ht="13.5" customHeight="1">
      <c r="A88" s="109"/>
      <c r="B88" s="110"/>
      <c r="C88" s="111" t="s">
        <v>110</v>
      </c>
      <c r="D88" s="148" t="s">
        <v>81</v>
      </c>
      <c r="E88" s="113" t="s">
        <v>2</v>
      </c>
      <c r="F88" s="114">
        <v>1323749</v>
      </c>
      <c r="G88" s="115">
        <v>1</v>
      </c>
      <c r="H88" s="116">
        <f t="shared" si="45"/>
        <v>1323749</v>
      </c>
      <c r="I88" s="117">
        <v>1</v>
      </c>
      <c r="J88" s="99">
        <f t="shared" si="46"/>
        <v>1323749</v>
      </c>
      <c r="K88" s="118"/>
      <c r="L88" s="99">
        <f t="shared" si="47"/>
        <v>0</v>
      </c>
      <c r="M88" s="118">
        <v>1</v>
      </c>
      <c r="N88" s="99">
        <f t="shared" si="48"/>
        <v>1323749</v>
      </c>
      <c r="O88" s="100">
        <f t="shared" si="49"/>
        <v>0</v>
      </c>
      <c r="P88" s="119">
        <f t="shared" si="50"/>
        <v>0</v>
      </c>
      <c r="Q88" s="120">
        <f t="shared" si="51"/>
        <v>0</v>
      </c>
      <c r="R88" s="103">
        <f t="shared" si="52"/>
        <v>0</v>
      </c>
      <c r="S88" s="104">
        <f t="shared" si="53"/>
        <v>0</v>
      </c>
      <c r="T88" s="119">
        <f t="shared" si="54"/>
        <v>1</v>
      </c>
      <c r="U88" s="121"/>
      <c r="V88" s="122">
        <f t="shared" si="55"/>
        <v>1323749</v>
      </c>
      <c r="W88" s="123">
        <f t="shared" si="56"/>
        <v>0</v>
      </c>
      <c r="X88" s="124">
        <f t="shared" si="57"/>
        <v>0</v>
      </c>
      <c r="Y88" s="125">
        <f t="shared" si="58"/>
        <v>0</v>
      </c>
      <c r="Z88" s="126">
        <f t="shared" si="59"/>
        <v>0</v>
      </c>
      <c r="AA88" s="126">
        <f t="shared" si="60"/>
        <v>0</v>
      </c>
    </row>
    <row r="89" spans="1:27" s="87" customFormat="1" ht="13.5" customHeight="1">
      <c r="A89" s="109"/>
      <c r="B89" s="110"/>
      <c r="C89" s="111" t="s">
        <v>111</v>
      </c>
      <c r="D89" s="148" t="s">
        <v>83</v>
      </c>
      <c r="E89" s="113" t="s">
        <v>2</v>
      </c>
      <c r="F89" s="114">
        <v>954493</v>
      </c>
      <c r="G89" s="115">
        <v>1</v>
      </c>
      <c r="H89" s="116">
        <f t="shared" si="45"/>
        <v>954493</v>
      </c>
      <c r="I89" s="117">
        <v>0</v>
      </c>
      <c r="J89" s="99">
        <f t="shared" si="46"/>
        <v>0</v>
      </c>
      <c r="K89" s="118"/>
      <c r="L89" s="99">
        <f t="shared" si="47"/>
        <v>0</v>
      </c>
      <c r="M89" s="118">
        <v>1</v>
      </c>
      <c r="N89" s="99">
        <f t="shared" si="48"/>
        <v>954493</v>
      </c>
      <c r="O89" s="100">
        <f t="shared" si="49"/>
        <v>-1</v>
      </c>
      <c r="P89" s="119">
        <f t="shared" si="50"/>
        <v>-1</v>
      </c>
      <c r="Q89" s="120">
        <f t="shared" si="51"/>
        <v>-954493</v>
      </c>
      <c r="R89" s="103">
        <f t="shared" si="52"/>
        <v>0</v>
      </c>
      <c r="S89" s="104">
        <f t="shared" si="53"/>
        <v>0</v>
      </c>
      <c r="T89" s="119">
        <f t="shared" si="54"/>
        <v>0</v>
      </c>
      <c r="U89" s="121"/>
      <c r="V89" s="122">
        <f t="shared" si="55"/>
        <v>0</v>
      </c>
      <c r="W89" s="123">
        <f t="shared" si="56"/>
        <v>0</v>
      </c>
      <c r="X89" s="124">
        <f t="shared" si="57"/>
        <v>0</v>
      </c>
      <c r="Y89" s="125">
        <f t="shared" si="58"/>
        <v>0</v>
      </c>
      <c r="Z89" s="126">
        <f t="shared" si="59"/>
        <v>0</v>
      </c>
      <c r="AA89" s="126">
        <f t="shared" si="60"/>
        <v>-954493</v>
      </c>
    </row>
    <row r="90" spans="1:27" s="87" customFormat="1" ht="13.5" customHeight="1">
      <c r="A90" s="109"/>
      <c r="B90" s="110"/>
      <c r="C90" s="111" t="s">
        <v>112</v>
      </c>
      <c r="D90" s="142" t="s">
        <v>85</v>
      </c>
      <c r="E90" s="113"/>
      <c r="F90" s="114"/>
      <c r="G90" s="115"/>
      <c r="H90" s="116"/>
      <c r="I90" s="117"/>
      <c r="J90" s="99"/>
      <c r="K90" s="118"/>
      <c r="L90" s="99"/>
      <c r="M90" s="118"/>
      <c r="N90" s="99"/>
      <c r="O90" s="100">
        <f t="shared" si="49"/>
        <v>0</v>
      </c>
      <c r="P90" s="119">
        <f t="shared" si="50"/>
        <v>0</v>
      </c>
      <c r="Q90" s="120">
        <f t="shared" si="51"/>
        <v>0</v>
      </c>
      <c r="R90" s="103">
        <f t="shared" si="52"/>
        <v>0</v>
      </c>
      <c r="S90" s="104">
        <f t="shared" si="53"/>
        <v>0</v>
      </c>
      <c r="T90" s="119">
        <f t="shared" si="54"/>
        <v>0</v>
      </c>
      <c r="U90" s="121"/>
      <c r="V90" s="122"/>
      <c r="W90" s="123"/>
      <c r="X90" s="124"/>
      <c r="Y90" s="125">
        <f t="shared" si="58"/>
        <v>0</v>
      </c>
      <c r="Z90" s="126">
        <f t="shared" si="59"/>
        <v>0</v>
      </c>
      <c r="AA90" s="126">
        <f t="shared" si="60"/>
        <v>0</v>
      </c>
    </row>
    <row r="91" spans="1:27" s="87" customFormat="1" ht="13.5" customHeight="1">
      <c r="A91" s="109"/>
      <c r="B91" s="110"/>
      <c r="C91" s="111" t="s">
        <v>113</v>
      </c>
      <c r="D91" s="148" t="s">
        <v>114</v>
      </c>
      <c r="E91" s="113" t="s">
        <v>2</v>
      </c>
      <c r="F91" s="114">
        <v>1635278</v>
      </c>
      <c r="G91" s="115">
        <v>1</v>
      </c>
      <c r="H91" s="116">
        <f aca="true" t="shared" si="61" ref="H91:H97">F91*G91</f>
        <v>1635278</v>
      </c>
      <c r="I91" s="117">
        <v>1</v>
      </c>
      <c r="J91" s="99">
        <f t="shared" si="46"/>
        <v>1635278</v>
      </c>
      <c r="K91" s="118"/>
      <c r="L91" s="99">
        <f t="shared" si="47"/>
        <v>0</v>
      </c>
      <c r="M91" s="118">
        <v>1</v>
      </c>
      <c r="N91" s="99">
        <f t="shared" si="48"/>
        <v>1635278</v>
      </c>
      <c r="O91" s="100">
        <f t="shared" si="49"/>
        <v>0</v>
      </c>
      <c r="P91" s="119">
        <f t="shared" si="50"/>
        <v>0</v>
      </c>
      <c r="Q91" s="120">
        <f t="shared" si="51"/>
        <v>0</v>
      </c>
      <c r="R91" s="103">
        <f t="shared" si="52"/>
        <v>0</v>
      </c>
      <c r="S91" s="104">
        <f t="shared" si="53"/>
        <v>0</v>
      </c>
      <c r="T91" s="119">
        <f t="shared" si="54"/>
        <v>1</v>
      </c>
      <c r="U91" s="121"/>
      <c r="V91" s="122">
        <f t="shared" si="55"/>
        <v>1635278</v>
      </c>
      <c r="W91" s="123">
        <f t="shared" si="56"/>
        <v>0</v>
      </c>
      <c r="X91" s="124">
        <f t="shared" si="57"/>
        <v>0</v>
      </c>
      <c r="Y91" s="125">
        <f t="shared" si="58"/>
        <v>0</v>
      </c>
      <c r="Z91" s="126">
        <f t="shared" si="59"/>
        <v>0</v>
      </c>
      <c r="AA91" s="126">
        <f t="shared" si="60"/>
        <v>0</v>
      </c>
    </row>
    <row r="92" spans="1:27" s="87" customFormat="1" ht="13.5" customHeight="1">
      <c r="A92" s="109"/>
      <c r="B92" s="110"/>
      <c r="C92" s="111" t="s">
        <v>115</v>
      </c>
      <c r="D92" s="148" t="s">
        <v>89</v>
      </c>
      <c r="E92" s="113" t="s">
        <v>20</v>
      </c>
      <c r="F92" s="114">
        <v>405087</v>
      </c>
      <c r="G92" s="115">
        <v>6.09</v>
      </c>
      <c r="H92" s="116">
        <f t="shared" si="61"/>
        <v>2466979.83</v>
      </c>
      <c r="I92" s="117">
        <v>0</v>
      </c>
      <c r="J92" s="99">
        <f t="shared" si="46"/>
        <v>0</v>
      </c>
      <c r="K92" s="118"/>
      <c r="L92" s="99">
        <f t="shared" si="47"/>
        <v>0</v>
      </c>
      <c r="M92" s="118">
        <v>1</v>
      </c>
      <c r="N92" s="99">
        <f t="shared" si="48"/>
        <v>405087</v>
      </c>
      <c r="O92" s="100">
        <f t="shared" si="49"/>
        <v>-1</v>
      </c>
      <c r="P92" s="119">
        <f t="shared" si="50"/>
        <v>-1</v>
      </c>
      <c r="Q92" s="120">
        <f t="shared" si="51"/>
        <v>-405087</v>
      </c>
      <c r="R92" s="103">
        <f t="shared" si="52"/>
        <v>0</v>
      </c>
      <c r="S92" s="104">
        <f t="shared" si="53"/>
        <v>0</v>
      </c>
      <c r="T92" s="119">
        <f t="shared" si="54"/>
        <v>0</v>
      </c>
      <c r="U92" s="121"/>
      <c r="V92" s="122">
        <f t="shared" si="55"/>
        <v>0</v>
      </c>
      <c r="W92" s="123">
        <f t="shared" si="56"/>
        <v>0</v>
      </c>
      <c r="X92" s="124">
        <f t="shared" si="57"/>
        <v>0</v>
      </c>
      <c r="Y92" s="125">
        <f t="shared" si="58"/>
        <v>0</v>
      </c>
      <c r="Z92" s="126">
        <f t="shared" si="59"/>
        <v>0</v>
      </c>
      <c r="AA92" s="126">
        <f t="shared" si="60"/>
        <v>-405087</v>
      </c>
    </row>
    <row r="93" spans="1:27" s="87" customFormat="1" ht="13.5" customHeight="1">
      <c r="A93" s="109"/>
      <c r="B93" s="110"/>
      <c r="C93" s="111" t="s">
        <v>116</v>
      </c>
      <c r="D93" s="148" t="s">
        <v>117</v>
      </c>
      <c r="E93" s="113" t="s">
        <v>20</v>
      </c>
      <c r="F93" s="114">
        <v>316505</v>
      </c>
      <c r="G93" s="115">
        <v>14</v>
      </c>
      <c r="H93" s="116">
        <f t="shared" si="61"/>
        <v>4431070</v>
      </c>
      <c r="I93" s="117">
        <v>14.5</v>
      </c>
      <c r="J93" s="99">
        <f t="shared" si="46"/>
        <v>4589322.5</v>
      </c>
      <c r="K93" s="118"/>
      <c r="L93" s="99">
        <f t="shared" si="47"/>
        <v>0</v>
      </c>
      <c r="M93" s="118">
        <v>1</v>
      </c>
      <c r="N93" s="99">
        <f t="shared" si="48"/>
        <v>316505</v>
      </c>
      <c r="O93" s="128">
        <v>0</v>
      </c>
      <c r="P93" s="119">
        <v>0</v>
      </c>
      <c r="Q93" s="120">
        <f t="shared" si="51"/>
        <v>0</v>
      </c>
      <c r="R93" s="103">
        <f t="shared" si="52"/>
        <v>13.5</v>
      </c>
      <c r="S93" s="104">
        <f t="shared" si="53"/>
        <v>4272817.5</v>
      </c>
      <c r="T93" s="119">
        <f t="shared" si="54"/>
        <v>14.5</v>
      </c>
      <c r="U93" s="121"/>
      <c r="V93" s="122">
        <f t="shared" si="55"/>
        <v>4589322.5</v>
      </c>
      <c r="W93" s="123">
        <f t="shared" si="56"/>
        <v>0</v>
      </c>
      <c r="X93" s="124">
        <f t="shared" si="57"/>
        <v>0</v>
      </c>
      <c r="Y93" s="125">
        <f t="shared" si="58"/>
        <v>0</v>
      </c>
      <c r="Z93" s="126">
        <f t="shared" si="59"/>
        <v>0</v>
      </c>
      <c r="AA93" s="126">
        <f t="shared" si="60"/>
        <v>0</v>
      </c>
    </row>
    <row r="94" spans="1:27" s="87" customFormat="1" ht="13.5" customHeight="1">
      <c r="A94" s="109"/>
      <c r="B94" s="110"/>
      <c r="C94" s="111" t="s">
        <v>118</v>
      </c>
      <c r="D94" s="148" t="s">
        <v>119</v>
      </c>
      <c r="E94" s="113" t="s">
        <v>20</v>
      </c>
      <c r="F94" s="114">
        <v>416035</v>
      </c>
      <c r="G94" s="115">
        <v>13.3</v>
      </c>
      <c r="H94" s="116">
        <f t="shared" si="61"/>
        <v>5533265.5</v>
      </c>
      <c r="I94" s="117">
        <v>0</v>
      </c>
      <c r="J94" s="99">
        <f t="shared" si="46"/>
        <v>0</v>
      </c>
      <c r="K94" s="118"/>
      <c r="L94" s="99">
        <f t="shared" si="47"/>
        <v>0</v>
      </c>
      <c r="M94" s="118"/>
      <c r="N94" s="99">
        <f t="shared" si="48"/>
        <v>0</v>
      </c>
      <c r="O94" s="100">
        <f t="shared" si="49"/>
        <v>0</v>
      </c>
      <c r="P94" s="119">
        <f t="shared" si="50"/>
        <v>0</v>
      </c>
      <c r="Q94" s="120">
        <f t="shared" si="51"/>
        <v>0</v>
      </c>
      <c r="R94" s="103">
        <f t="shared" si="52"/>
        <v>0</v>
      </c>
      <c r="S94" s="104">
        <f t="shared" si="53"/>
        <v>0</v>
      </c>
      <c r="T94" s="119">
        <f t="shared" si="54"/>
        <v>0</v>
      </c>
      <c r="U94" s="121"/>
      <c r="V94" s="122">
        <f t="shared" si="55"/>
        <v>0</v>
      </c>
      <c r="W94" s="123">
        <f t="shared" si="56"/>
        <v>0</v>
      </c>
      <c r="X94" s="124">
        <f t="shared" si="57"/>
        <v>0</v>
      </c>
      <c r="Y94" s="125">
        <f t="shared" si="58"/>
        <v>0</v>
      </c>
      <c r="Z94" s="126">
        <f t="shared" si="59"/>
        <v>0</v>
      </c>
      <c r="AA94" s="126">
        <f t="shared" si="60"/>
        <v>0</v>
      </c>
    </row>
    <row r="95" spans="1:27" s="87" customFormat="1" ht="13.5" customHeight="1">
      <c r="A95" s="109"/>
      <c r="B95" s="110"/>
      <c r="C95" s="111" t="s">
        <v>120</v>
      </c>
      <c r="D95" s="148" t="s">
        <v>28</v>
      </c>
      <c r="E95" s="113" t="s">
        <v>2</v>
      </c>
      <c r="F95" s="114">
        <v>281670</v>
      </c>
      <c r="G95" s="115">
        <v>9</v>
      </c>
      <c r="H95" s="116">
        <f t="shared" si="61"/>
        <v>2535030</v>
      </c>
      <c r="I95" s="117">
        <v>9</v>
      </c>
      <c r="J95" s="99">
        <f t="shared" si="46"/>
        <v>2535030</v>
      </c>
      <c r="K95" s="118"/>
      <c r="L95" s="99">
        <f t="shared" si="47"/>
        <v>0</v>
      </c>
      <c r="M95" s="118">
        <v>9</v>
      </c>
      <c r="N95" s="99">
        <f t="shared" si="48"/>
        <v>2535030</v>
      </c>
      <c r="O95" s="100">
        <f t="shared" si="49"/>
        <v>0</v>
      </c>
      <c r="P95" s="119">
        <f t="shared" si="50"/>
        <v>0</v>
      </c>
      <c r="Q95" s="120">
        <f t="shared" si="51"/>
        <v>0</v>
      </c>
      <c r="R95" s="103">
        <f t="shared" si="52"/>
        <v>0</v>
      </c>
      <c r="S95" s="104">
        <f t="shared" si="53"/>
        <v>0</v>
      </c>
      <c r="T95" s="119">
        <f t="shared" si="54"/>
        <v>9</v>
      </c>
      <c r="U95" s="121"/>
      <c r="V95" s="122">
        <f t="shared" si="55"/>
        <v>2535030</v>
      </c>
      <c r="W95" s="123">
        <f t="shared" si="56"/>
        <v>0</v>
      </c>
      <c r="X95" s="124">
        <f t="shared" si="57"/>
        <v>0</v>
      </c>
      <c r="Y95" s="125">
        <f t="shared" si="58"/>
        <v>0</v>
      </c>
      <c r="Z95" s="126">
        <f t="shared" si="59"/>
        <v>0</v>
      </c>
      <c r="AA95" s="126">
        <f t="shared" si="60"/>
        <v>0</v>
      </c>
    </row>
    <row r="96" spans="1:27" s="87" customFormat="1" ht="13.5" customHeight="1">
      <c r="A96" s="109"/>
      <c r="B96" s="110"/>
      <c r="C96" s="111" t="s">
        <v>121</v>
      </c>
      <c r="D96" s="148" t="s">
        <v>94</v>
      </c>
      <c r="E96" s="113" t="s">
        <v>2</v>
      </c>
      <c r="F96" s="114">
        <v>211004</v>
      </c>
      <c r="G96" s="115">
        <v>10</v>
      </c>
      <c r="H96" s="116">
        <f t="shared" si="61"/>
        <v>2110040</v>
      </c>
      <c r="I96" s="117">
        <v>10</v>
      </c>
      <c r="J96" s="99">
        <f t="shared" si="46"/>
        <v>2110040</v>
      </c>
      <c r="K96" s="118"/>
      <c r="L96" s="99">
        <f t="shared" si="47"/>
        <v>0</v>
      </c>
      <c r="M96" s="118">
        <v>10</v>
      </c>
      <c r="N96" s="99">
        <f t="shared" si="48"/>
        <v>2110040</v>
      </c>
      <c r="O96" s="100">
        <f t="shared" si="49"/>
        <v>0</v>
      </c>
      <c r="P96" s="119">
        <f t="shared" si="50"/>
        <v>0</v>
      </c>
      <c r="Q96" s="120">
        <f t="shared" si="51"/>
        <v>0</v>
      </c>
      <c r="R96" s="103">
        <f t="shared" si="52"/>
        <v>0</v>
      </c>
      <c r="S96" s="104">
        <f t="shared" si="53"/>
        <v>0</v>
      </c>
      <c r="T96" s="119">
        <f t="shared" si="54"/>
        <v>10</v>
      </c>
      <c r="U96" s="121"/>
      <c r="V96" s="122">
        <f t="shared" si="55"/>
        <v>2110040</v>
      </c>
      <c r="W96" s="123">
        <f t="shared" si="56"/>
        <v>0</v>
      </c>
      <c r="X96" s="124">
        <f t="shared" si="57"/>
        <v>0</v>
      </c>
      <c r="Y96" s="125">
        <f t="shared" si="58"/>
        <v>0</v>
      </c>
      <c r="Z96" s="126">
        <f t="shared" si="59"/>
        <v>0</v>
      </c>
      <c r="AA96" s="126">
        <f t="shared" si="60"/>
        <v>0</v>
      </c>
    </row>
    <row r="97" spans="1:27" s="87" customFormat="1" ht="13.5" customHeight="1">
      <c r="A97" s="109"/>
      <c r="B97" s="110"/>
      <c r="C97" s="111" t="s">
        <v>122</v>
      </c>
      <c r="D97" s="148" t="s">
        <v>96</v>
      </c>
      <c r="E97" s="113" t="s">
        <v>2</v>
      </c>
      <c r="F97" s="114">
        <v>281670</v>
      </c>
      <c r="G97" s="115">
        <v>8</v>
      </c>
      <c r="H97" s="116">
        <f t="shared" si="61"/>
        <v>2253360</v>
      </c>
      <c r="I97" s="117">
        <v>8</v>
      </c>
      <c r="J97" s="99">
        <f t="shared" si="46"/>
        <v>2253360</v>
      </c>
      <c r="K97" s="118"/>
      <c r="L97" s="99">
        <f t="shared" si="47"/>
        <v>0</v>
      </c>
      <c r="M97" s="118">
        <v>8</v>
      </c>
      <c r="N97" s="99">
        <f t="shared" si="48"/>
        <v>2253360</v>
      </c>
      <c r="O97" s="100">
        <f t="shared" si="49"/>
        <v>0</v>
      </c>
      <c r="P97" s="119">
        <f t="shared" si="50"/>
        <v>0</v>
      </c>
      <c r="Q97" s="120">
        <f t="shared" si="51"/>
        <v>0</v>
      </c>
      <c r="R97" s="103">
        <f t="shared" si="52"/>
        <v>0</v>
      </c>
      <c r="S97" s="104">
        <f t="shared" si="53"/>
        <v>0</v>
      </c>
      <c r="T97" s="119">
        <f t="shared" si="54"/>
        <v>8</v>
      </c>
      <c r="U97" s="121"/>
      <c r="V97" s="122">
        <f t="shared" si="55"/>
        <v>2253360</v>
      </c>
      <c r="W97" s="123">
        <f t="shared" si="56"/>
        <v>0</v>
      </c>
      <c r="X97" s="124">
        <f t="shared" si="57"/>
        <v>0</v>
      </c>
      <c r="Y97" s="125">
        <f t="shared" si="58"/>
        <v>0</v>
      </c>
      <c r="Z97" s="126">
        <f t="shared" si="59"/>
        <v>0</v>
      </c>
      <c r="AA97" s="126">
        <f t="shared" si="60"/>
        <v>0</v>
      </c>
    </row>
    <row r="98" spans="1:27" s="87" customFormat="1" ht="13.5" customHeight="1">
      <c r="A98" s="109"/>
      <c r="B98" s="110"/>
      <c r="C98" s="90"/>
      <c r="D98" s="129" t="s">
        <v>31</v>
      </c>
      <c r="E98" s="130"/>
      <c r="F98" s="131"/>
      <c r="G98" s="132"/>
      <c r="H98" s="151">
        <f>SUM(H83:H97)</f>
        <v>64637800.08</v>
      </c>
      <c r="I98" s="134"/>
      <c r="J98" s="152">
        <f>SUM(J83:J97)</f>
        <v>49535996.400000006</v>
      </c>
      <c r="K98" s="153"/>
      <c r="L98" s="152">
        <f>SUM(L83:L97)</f>
        <v>0</v>
      </c>
      <c r="M98" s="153"/>
      <c r="N98" s="152">
        <f>SUM(N83:N97)</f>
        <v>31706787.5</v>
      </c>
      <c r="O98" s="100">
        <f t="shared" si="49"/>
        <v>0</v>
      </c>
      <c r="P98" s="137"/>
      <c r="Q98" s="151">
        <f>SUM(Q83:Q97)</f>
        <v>5165609</v>
      </c>
      <c r="R98" s="154"/>
      <c r="S98" s="151">
        <f>SUM(S83:S97)</f>
        <v>12663599.9</v>
      </c>
      <c r="T98" s="137"/>
      <c r="U98" s="139"/>
      <c r="V98" s="152">
        <f>SUM(V83:V97)</f>
        <v>49535996.400000006</v>
      </c>
      <c r="W98" s="140"/>
      <c r="X98" s="141">
        <f>SUM(X83:X97)</f>
        <v>0</v>
      </c>
      <c r="Y98" s="125">
        <f t="shared" si="58"/>
        <v>0</v>
      </c>
      <c r="Z98" s="126">
        <f t="shared" si="59"/>
        <v>0</v>
      </c>
      <c r="AA98" s="126">
        <f t="shared" si="60"/>
        <v>5165609</v>
      </c>
    </row>
    <row r="99" spans="1:27" s="87" customFormat="1" ht="13.5" customHeight="1">
      <c r="A99" s="109">
        <v>9</v>
      </c>
      <c r="B99" s="110"/>
      <c r="C99" s="90"/>
      <c r="D99" s="631" t="s">
        <v>301</v>
      </c>
      <c r="E99" s="632"/>
      <c r="F99" s="632"/>
      <c r="G99" s="632"/>
      <c r="H99" s="632"/>
      <c r="I99" s="117"/>
      <c r="J99" s="99"/>
      <c r="K99" s="118"/>
      <c r="L99" s="99"/>
      <c r="M99" s="118"/>
      <c r="N99" s="99"/>
      <c r="O99" s="100">
        <f t="shared" si="49"/>
        <v>0</v>
      </c>
      <c r="P99" s="119"/>
      <c r="Q99" s="120"/>
      <c r="R99" s="103"/>
      <c r="S99" s="104"/>
      <c r="T99" s="119"/>
      <c r="U99" s="121"/>
      <c r="V99" s="122"/>
      <c r="W99" s="123"/>
      <c r="X99" s="124"/>
      <c r="Y99" s="125">
        <f t="shared" si="58"/>
        <v>0</v>
      </c>
      <c r="Z99" s="126">
        <f t="shared" si="59"/>
        <v>0</v>
      </c>
      <c r="AA99" s="126">
        <f t="shared" si="60"/>
        <v>0</v>
      </c>
    </row>
    <row r="100" spans="1:27" s="87" customFormat="1" ht="13.5" customHeight="1">
      <c r="A100" s="109"/>
      <c r="B100" s="110"/>
      <c r="C100" s="111" t="s">
        <v>123</v>
      </c>
      <c r="D100" s="148" t="s">
        <v>124</v>
      </c>
      <c r="E100" s="113" t="s">
        <v>2</v>
      </c>
      <c r="F100" s="114">
        <v>954493</v>
      </c>
      <c r="G100" s="115">
        <v>1</v>
      </c>
      <c r="H100" s="116">
        <f>F100*G100</f>
        <v>954493</v>
      </c>
      <c r="I100" s="117">
        <v>0</v>
      </c>
      <c r="J100" s="99">
        <f aca="true" t="shared" si="62" ref="J100:J105">+I100*F100</f>
        <v>0</v>
      </c>
      <c r="K100" s="118"/>
      <c r="L100" s="99">
        <f aca="true" t="shared" si="63" ref="L100:L105">+K100*F100</f>
        <v>0</v>
      </c>
      <c r="M100" s="118">
        <v>1</v>
      </c>
      <c r="N100" s="99">
        <f aca="true" t="shared" si="64" ref="N100:N105">+M100*F100</f>
        <v>954493</v>
      </c>
      <c r="O100" s="100">
        <f t="shared" si="49"/>
        <v>-1</v>
      </c>
      <c r="P100" s="119">
        <f aca="true" t="shared" si="65" ref="P100:P105">+I100-K100-M100</f>
        <v>-1</v>
      </c>
      <c r="Q100" s="103">
        <f aca="true" t="shared" si="66" ref="Q100:R105">+H100-J100-L100-O100</f>
        <v>954494</v>
      </c>
      <c r="R100" s="103">
        <f t="shared" si="66"/>
        <v>0</v>
      </c>
      <c r="S100" s="104">
        <f aca="true" t="shared" si="67" ref="S100:S105">+R100*F100</f>
        <v>0</v>
      </c>
      <c r="T100" s="119">
        <f aca="true" t="shared" si="68" ref="T100:T105">+K100+M100+O100+R100</f>
        <v>0</v>
      </c>
      <c r="U100" s="121"/>
      <c r="V100" s="122">
        <f aca="true" t="shared" si="69" ref="V100:V105">+T100*F100</f>
        <v>0</v>
      </c>
      <c r="W100" s="123">
        <f aca="true" t="shared" si="70" ref="W100:W105">+I100-T100</f>
        <v>0</v>
      </c>
      <c r="X100" s="124">
        <f aca="true" t="shared" si="71" ref="X100:X105">+W100*F100</f>
        <v>0</v>
      </c>
      <c r="Y100" s="125">
        <f t="shared" si="58"/>
        <v>0</v>
      </c>
      <c r="Z100" s="126">
        <f t="shared" si="59"/>
        <v>0</v>
      </c>
      <c r="AA100" s="126">
        <f t="shared" si="60"/>
        <v>954494</v>
      </c>
    </row>
    <row r="101" spans="1:27" s="87" customFormat="1" ht="13.5" customHeight="1">
      <c r="A101" s="109"/>
      <c r="B101" s="110"/>
      <c r="C101" s="111" t="s">
        <v>125</v>
      </c>
      <c r="D101" s="156" t="s">
        <v>85</v>
      </c>
      <c r="E101" s="113"/>
      <c r="F101" s="114"/>
      <c r="G101" s="115"/>
      <c r="H101" s="116"/>
      <c r="I101" s="117"/>
      <c r="J101" s="99"/>
      <c r="K101" s="118"/>
      <c r="L101" s="99"/>
      <c r="M101" s="118"/>
      <c r="N101" s="99"/>
      <c r="O101" s="100">
        <f t="shared" si="49"/>
        <v>0</v>
      </c>
      <c r="P101" s="119">
        <f t="shared" si="65"/>
        <v>0</v>
      </c>
      <c r="Q101" s="103">
        <f t="shared" si="66"/>
        <v>0</v>
      </c>
      <c r="R101" s="103">
        <f t="shared" si="66"/>
        <v>0</v>
      </c>
      <c r="S101" s="104">
        <f t="shared" si="67"/>
        <v>0</v>
      </c>
      <c r="T101" s="119">
        <f t="shared" si="68"/>
        <v>0</v>
      </c>
      <c r="U101" s="121"/>
      <c r="V101" s="122"/>
      <c r="W101" s="123"/>
      <c r="X101" s="124"/>
      <c r="Y101" s="125">
        <f t="shared" si="58"/>
        <v>0</v>
      </c>
      <c r="Z101" s="126">
        <f t="shared" si="59"/>
        <v>0</v>
      </c>
      <c r="AA101" s="126">
        <f t="shared" si="60"/>
        <v>0</v>
      </c>
    </row>
    <row r="102" spans="1:27" s="87" customFormat="1" ht="13.5" customHeight="1">
      <c r="A102" s="109"/>
      <c r="B102" s="110"/>
      <c r="C102" s="111" t="s">
        <v>126</v>
      </c>
      <c r="D102" s="148" t="s">
        <v>114</v>
      </c>
      <c r="E102" s="113" t="s">
        <v>2</v>
      </c>
      <c r="F102" s="114">
        <v>1635278</v>
      </c>
      <c r="G102" s="115">
        <v>1</v>
      </c>
      <c r="H102" s="116">
        <f>F102*G102</f>
        <v>1635278</v>
      </c>
      <c r="I102" s="117">
        <v>1</v>
      </c>
      <c r="J102" s="99">
        <f t="shared" si="62"/>
        <v>1635278</v>
      </c>
      <c r="K102" s="118"/>
      <c r="L102" s="99">
        <f t="shared" si="63"/>
        <v>0</v>
      </c>
      <c r="M102" s="118">
        <v>1</v>
      </c>
      <c r="N102" s="99">
        <f t="shared" si="64"/>
        <v>1635278</v>
      </c>
      <c r="O102" s="100">
        <f t="shared" si="49"/>
        <v>0</v>
      </c>
      <c r="P102" s="119">
        <f t="shared" si="65"/>
        <v>0</v>
      </c>
      <c r="Q102" s="103">
        <f t="shared" si="66"/>
        <v>0</v>
      </c>
      <c r="R102" s="103">
        <f t="shared" si="66"/>
        <v>0</v>
      </c>
      <c r="S102" s="104">
        <f t="shared" si="67"/>
        <v>0</v>
      </c>
      <c r="T102" s="119">
        <f t="shared" si="68"/>
        <v>1</v>
      </c>
      <c r="U102" s="121"/>
      <c r="V102" s="122">
        <f t="shared" si="69"/>
        <v>1635278</v>
      </c>
      <c r="W102" s="123">
        <f t="shared" si="70"/>
        <v>0</v>
      </c>
      <c r="X102" s="124">
        <f t="shared" si="71"/>
        <v>0</v>
      </c>
      <c r="Y102" s="125">
        <f t="shared" si="58"/>
        <v>0</v>
      </c>
      <c r="Z102" s="126">
        <f t="shared" si="59"/>
        <v>0</v>
      </c>
      <c r="AA102" s="126">
        <f t="shared" si="60"/>
        <v>0</v>
      </c>
    </row>
    <row r="103" spans="1:27" s="87" customFormat="1" ht="13.5" customHeight="1">
      <c r="A103" s="109"/>
      <c r="B103" s="110"/>
      <c r="C103" s="111" t="s">
        <v>127</v>
      </c>
      <c r="D103" s="148" t="s">
        <v>89</v>
      </c>
      <c r="E103" s="113" t="s">
        <v>20</v>
      </c>
      <c r="F103" s="114">
        <v>405087</v>
      </c>
      <c r="G103" s="115">
        <v>8.73</v>
      </c>
      <c r="H103" s="116">
        <f>F103*G103</f>
        <v>3536409.5100000002</v>
      </c>
      <c r="I103" s="117">
        <v>0</v>
      </c>
      <c r="J103" s="99">
        <f t="shared" si="62"/>
        <v>0</v>
      </c>
      <c r="K103" s="118"/>
      <c r="L103" s="99">
        <f t="shared" si="63"/>
        <v>0</v>
      </c>
      <c r="M103" s="118"/>
      <c r="N103" s="99">
        <f t="shared" si="64"/>
        <v>0</v>
      </c>
      <c r="O103" s="100">
        <f t="shared" si="49"/>
        <v>0</v>
      </c>
      <c r="P103" s="119">
        <f t="shared" si="65"/>
        <v>0</v>
      </c>
      <c r="Q103" s="103">
        <f t="shared" si="66"/>
        <v>3536409.5100000002</v>
      </c>
      <c r="R103" s="103">
        <f t="shared" si="66"/>
        <v>0</v>
      </c>
      <c r="S103" s="104">
        <f t="shared" si="67"/>
        <v>0</v>
      </c>
      <c r="T103" s="119">
        <f t="shared" si="68"/>
        <v>0</v>
      </c>
      <c r="U103" s="121"/>
      <c r="V103" s="122">
        <f t="shared" si="69"/>
        <v>0</v>
      </c>
      <c r="W103" s="123">
        <f t="shared" si="70"/>
        <v>0</v>
      </c>
      <c r="X103" s="124">
        <f t="shared" si="71"/>
        <v>0</v>
      </c>
      <c r="Y103" s="125">
        <f t="shared" si="58"/>
        <v>0</v>
      </c>
      <c r="Z103" s="126">
        <f t="shared" si="59"/>
        <v>0</v>
      </c>
      <c r="AA103" s="126">
        <f t="shared" si="60"/>
        <v>3536409.5100000002</v>
      </c>
    </row>
    <row r="104" spans="1:27" s="87" customFormat="1" ht="13.5" customHeight="1">
      <c r="A104" s="109"/>
      <c r="B104" s="110"/>
      <c r="C104" s="111" t="s">
        <v>128</v>
      </c>
      <c r="D104" s="148" t="s">
        <v>28</v>
      </c>
      <c r="E104" s="113" t="s">
        <v>2</v>
      </c>
      <c r="F104" s="114">
        <v>281670</v>
      </c>
      <c r="G104" s="115">
        <v>2</v>
      </c>
      <c r="H104" s="116">
        <f>F104*G104</f>
        <v>563340</v>
      </c>
      <c r="I104" s="117">
        <v>2</v>
      </c>
      <c r="J104" s="99">
        <f t="shared" si="62"/>
        <v>563340</v>
      </c>
      <c r="K104" s="118"/>
      <c r="L104" s="99">
        <f t="shared" si="63"/>
        <v>0</v>
      </c>
      <c r="M104" s="118">
        <v>2</v>
      </c>
      <c r="N104" s="99">
        <f t="shared" si="64"/>
        <v>563340</v>
      </c>
      <c r="O104" s="100">
        <f t="shared" si="49"/>
        <v>0</v>
      </c>
      <c r="P104" s="119">
        <f t="shared" si="65"/>
        <v>0</v>
      </c>
      <c r="Q104" s="103">
        <f t="shared" si="66"/>
        <v>0</v>
      </c>
      <c r="R104" s="103">
        <f t="shared" si="66"/>
        <v>0</v>
      </c>
      <c r="S104" s="104">
        <f t="shared" si="67"/>
        <v>0</v>
      </c>
      <c r="T104" s="119">
        <f t="shared" si="68"/>
        <v>2</v>
      </c>
      <c r="U104" s="121"/>
      <c r="V104" s="122">
        <f t="shared" si="69"/>
        <v>563340</v>
      </c>
      <c r="W104" s="123">
        <f t="shared" si="70"/>
        <v>0</v>
      </c>
      <c r="X104" s="124">
        <f t="shared" si="71"/>
        <v>0</v>
      </c>
      <c r="Y104" s="125">
        <f t="shared" si="58"/>
        <v>0</v>
      </c>
      <c r="Z104" s="126">
        <f t="shared" si="59"/>
        <v>0</v>
      </c>
      <c r="AA104" s="126">
        <f t="shared" si="60"/>
        <v>0</v>
      </c>
    </row>
    <row r="105" spans="1:27" s="87" customFormat="1" ht="13.5" customHeight="1">
      <c r="A105" s="109"/>
      <c r="B105" s="110"/>
      <c r="C105" s="111" t="s">
        <v>129</v>
      </c>
      <c r="D105" s="148" t="s">
        <v>94</v>
      </c>
      <c r="E105" s="113" t="s">
        <v>2</v>
      </c>
      <c r="F105" s="114">
        <v>211004</v>
      </c>
      <c r="G105" s="115">
        <v>2</v>
      </c>
      <c r="H105" s="116">
        <f>F105*G105</f>
        <v>422008</v>
      </c>
      <c r="I105" s="117">
        <v>2</v>
      </c>
      <c r="J105" s="99">
        <f t="shared" si="62"/>
        <v>422008</v>
      </c>
      <c r="K105" s="118"/>
      <c r="L105" s="99">
        <f t="shared" si="63"/>
        <v>0</v>
      </c>
      <c r="M105" s="118">
        <v>2</v>
      </c>
      <c r="N105" s="99">
        <f t="shared" si="64"/>
        <v>422008</v>
      </c>
      <c r="O105" s="100">
        <f t="shared" si="49"/>
        <v>0</v>
      </c>
      <c r="P105" s="119">
        <f t="shared" si="65"/>
        <v>0</v>
      </c>
      <c r="Q105" s="103">
        <f t="shared" si="66"/>
        <v>0</v>
      </c>
      <c r="R105" s="103">
        <f t="shared" si="66"/>
        <v>0</v>
      </c>
      <c r="S105" s="104">
        <f t="shared" si="67"/>
        <v>0</v>
      </c>
      <c r="T105" s="119">
        <f t="shared" si="68"/>
        <v>2</v>
      </c>
      <c r="U105" s="121"/>
      <c r="V105" s="122">
        <f t="shared" si="69"/>
        <v>422008</v>
      </c>
      <c r="W105" s="123">
        <f t="shared" si="70"/>
        <v>0</v>
      </c>
      <c r="X105" s="124">
        <f t="shared" si="71"/>
        <v>0</v>
      </c>
      <c r="Y105" s="125">
        <f t="shared" si="58"/>
        <v>0</v>
      </c>
      <c r="Z105" s="126">
        <f t="shared" si="59"/>
        <v>0</v>
      </c>
      <c r="AA105" s="126">
        <f t="shared" si="60"/>
        <v>0</v>
      </c>
    </row>
    <row r="106" spans="1:27" s="87" customFormat="1" ht="13.5" customHeight="1">
      <c r="A106" s="109"/>
      <c r="B106" s="110"/>
      <c r="C106" s="90"/>
      <c r="D106" s="129" t="s">
        <v>31</v>
      </c>
      <c r="E106" s="130"/>
      <c r="F106" s="131"/>
      <c r="G106" s="132"/>
      <c r="H106" s="133">
        <f>SUM(H100:H105)</f>
        <v>7111528.51</v>
      </c>
      <c r="I106" s="134"/>
      <c r="J106" s="135">
        <f>SUM(J100:J105)</f>
        <v>2620626</v>
      </c>
      <c r="K106" s="136"/>
      <c r="L106" s="135">
        <f>SUM(L100:L105)</f>
        <v>0</v>
      </c>
      <c r="M106" s="136"/>
      <c r="N106" s="135">
        <f>SUM(N100:N105)</f>
        <v>3575119</v>
      </c>
      <c r="O106" s="100">
        <f t="shared" si="49"/>
        <v>0</v>
      </c>
      <c r="P106" s="137"/>
      <c r="Q106" s="133">
        <f>SUM(Q100:Q105)</f>
        <v>4490903.51</v>
      </c>
      <c r="R106" s="138"/>
      <c r="S106" s="133">
        <f>SUM(S100:S105)</f>
        <v>0</v>
      </c>
      <c r="T106" s="137"/>
      <c r="U106" s="139"/>
      <c r="V106" s="135">
        <f>SUM(V100:V105)</f>
        <v>2620626</v>
      </c>
      <c r="W106" s="140"/>
      <c r="X106" s="141">
        <f>SUM(X100:X105)</f>
        <v>0</v>
      </c>
      <c r="Y106" s="125">
        <f t="shared" si="58"/>
        <v>0</v>
      </c>
      <c r="Z106" s="126">
        <f t="shared" si="59"/>
        <v>0</v>
      </c>
      <c r="AA106" s="126">
        <f t="shared" si="60"/>
        <v>4490903.51</v>
      </c>
    </row>
    <row r="107" spans="1:27" s="87" customFormat="1" ht="13.5" customHeight="1">
      <c r="A107" s="109">
        <v>10</v>
      </c>
      <c r="B107" s="110"/>
      <c r="C107" s="90"/>
      <c r="D107" s="142" t="s">
        <v>130</v>
      </c>
      <c r="E107" s="143"/>
      <c r="F107" s="144"/>
      <c r="G107" s="145"/>
      <c r="H107" s="146"/>
      <c r="I107" s="117"/>
      <c r="J107" s="99"/>
      <c r="K107" s="118"/>
      <c r="L107" s="99"/>
      <c r="M107" s="118"/>
      <c r="N107" s="99"/>
      <c r="O107" s="100">
        <f t="shared" si="49"/>
        <v>0</v>
      </c>
      <c r="P107" s="119"/>
      <c r="Q107" s="120"/>
      <c r="R107" s="103"/>
      <c r="S107" s="104"/>
      <c r="T107" s="119"/>
      <c r="U107" s="121"/>
      <c r="V107" s="122"/>
      <c r="W107" s="147"/>
      <c r="X107" s="124"/>
      <c r="Y107" s="125">
        <f t="shared" si="58"/>
        <v>0</v>
      </c>
      <c r="Z107" s="126">
        <f t="shared" si="59"/>
        <v>0</v>
      </c>
      <c r="AA107" s="126">
        <f t="shared" si="60"/>
        <v>0</v>
      </c>
    </row>
    <row r="108" spans="1:27" s="87" customFormat="1" ht="13.5" customHeight="1">
      <c r="A108" s="109"/>
      <c r="B108" s="110"/>
      <c r="C108" s="111" t="s">
        <v>131</v>
      </c>
      <c r="D108" s="148" t="s">
        <v>124</v>
      </c>
      <c r="E108" s="113" t="s">
        <v>2</v>
      </c>
      <c r="F108" s="114">
        <v>1145590</v>
      </c>
      <c r="G108" s="115">
        <v>1</v>
      </c>
      <c r="H108" s="116">
        <f aca="true" t="shared" si="72" ref="H108:H119">F108*G108</f>
        <v>1145590</v>
      </c>
      <c r="I108" s="117">
        <v>1</v>
      </c>
      <c r="J108" s="99">
        <f aca="true" t="shared" si="73" ref="J108:J120">+I108*F108</f>
        <v>1145590</v>
      </c>
      <c r="K108" s="118"/>
      <c r="L108" s="99">
        <f aca="true" t="shared" si="74" ref="L108:L120">+K108*F108</f>
        <v>0</v>
      </c>
      <c r="M108" s="118"/>
      <c r="N108" s="99">
        <f aca="true" t="shared" si="75" ref="N108:N119">+M108*F108</f>
        <v>0</v>
      </c>
      <c r="O108" s="100">
        <f t="shared" si="49"/>
        <v>1</v>
      </c>
      <c r="P108" s="119">
        <f aca="true" t="shared" si="76" ref="P108:P120">+I108-K108-M108</f>
        <v>1</v>
      </c>
      <c r="Q108" s="120">
        <f aca="true" t="shared" si="77" ref="Q108:Q120">+P108*F108</f>
        <v>1145590</v>
      </c>
      <c r="R108" s="103">
        <f aca="true" t="shared" si="78" ref="R108:R120">+I108-K108-M108-P108</f>
        <v>0</v>
      </c>
      <c r="S108" s="104">
        <f aca="true" t="shared" si="79" ref="S108:S120">+R108*F108</f>
        <v>0</v>
      </c>
      <c r="T108" s="119">
        <f aca="true" t="shared" si="80" ref="T108:T120">+K108+M108+O108+R108</f>
        <v>1</v>
      </c>
      <c r="U108" s="121"/>
      <c r="V108" s="122">
        <f aca="true" t="shared" si="81" ref="V108:V120">+T108*F108</f>
        <v>1145590</v>
      </c>
      <c r="W108" s="123">
        <f aca="true" t="shared" si="82" ref="W108:W120">+I108-T108</f>
        <v>0</v>
      </c>
      <c r="X108" s="124">
        <f aca="true" t="shared" si="83" ref="X108:X120">+W108*F108</f>
        <v>0</v>
      </c>
      <c r="Y108" s="125">
        <f t="shared" si="58"/>
        <v>0</v>
      </c>
      <c r="Z108" s="126">
        <f t="shared" si="59"/>
        <v>0</v>
      </c>
      <c r="AA108" s="126">
        <f t="shared" si="60"/>
        <v>1145590</v>
      </c>
    </row>
    <row r="109" spans="1:27" s="87" customFormat="1" ht="13.5" customHeight="1">
      <c r="A109" s="109"/>
      <c r="B109" s="110"/>
      <c r="C109" s="111" t="s">
        <v>132</v>
      </c>
      <c r="D109" s="148" t="s">
        <v>133</v>
      </c>
      <c r="E109" s="113" t="s">
        <v>2</v>
      </c>
      <c r="F109" s="114">
        <v>8360520</v>
      </c>
      <c r="G109" s="115">
        <v>1</v>
      </c>
      <c r="H109" s="116">
        <f t="shared" si="72"/>
        <v>8360520</v>
      </c>
      <c r="I109" s="117">
        <v>1</v>
      </c>
      <c r="J109" s="99">
        <f t="shared" si="73"/>
        <v>8360520</v>
      </c>
      <c r="K109" s="118"/>
      <c r="L109" s="99">
        <f t="shared" si="74"/>
        <v>0</v>
      </c>
      <c r="M109" s="118"/>
      <c r="N109" s="99">
        <f t="shared" si="75"/>
        <v>0</v>
      </c>
      <c r="O109" s="100">
        <f t="shared" si="49"/>
        <v>1</v>
      </c>
      <c r="P109" s="119">
        <f t="shared" si="76"/>
        <v>1</v>
      </c>
      <c r="Q109" s="120">
        <f t="shared" si="77"/>
        <v>8360520</v>
      </c>
      <c r="R109" s="103">
        <f t="shared" si="78"/>
        <v>0</v>
      </c>
      <c r="S109" s="104">
        <f t="shared" si="79"/>
        <v>0</v>
      </c>
      <c r="T109" s="119">
        <f t="shared" si="80"/>
        <v>1</v>
      </c>
      <c r="U109" s="121"/>
      <c r="V109" s="122">
        <f t="shared" si="81"/>
        <v>8360520</v>
      </c>
      <c r="W109" s="123">
        <f t="shared" si="82"/>
        <v>0</v>
      </c>
      <c r="X109" s="124">
        <f t="shared" si="83"/>
        <v>0</v>
      </c>
      <c r="Y109" s="125">
        <f t="shared" si="58"/>
        <v>0</v>
      </c>
      <c r="Z109" s="126">
        <f t="shared" si="59"/>
        <v>0</v>
      </c>
      <c r="AA109" s="126">
        <f t="shared" si="60"/>
        <v>8360520</v>
      </c>
    </row>
    <row r="110" spans="1:27" s="87" customFormat="1" ht="13.5" customHeight="1">
      <c r="A110" s="109"/>
      <c r="B110" s="110"/>
      <c r="C110" s="111" t="s">
        <v>134</v>
      </c>
      <c r="D110" s="148" t="s">
        <v>135</v>
      </c>
      <c r="E110" s="113" t="s">
        <v>2</v>
      </c>
      <c r="F110" s="114">
        <v>1529776</v>
      </c>
      <c r="G110" s="115">
        <v>1</v>
      </c>
      <c r="H110" s="116">
        <f t="shared" si="72"/>
        <v>1529776</v>
      </c>
      <c r="I110" s="117">
        <v>1</v>
      </c>
      <c r="J110" s="99">
        <f t="shared" si="73"/>
        <v>1529776</v>
      </c>
      <c r="K110" s="118"/>
      <c r="L110" s="99">
        <f t="shared" si="74"/>
        <v>0</v>
      </c>
      <c r="M110" s="118"/>
      <c r="N110" s="99">
        <f t="shared" si="75"/>
        <v>0</v>
      </c>
      <c r="O110" s="100">
        <f t="shared" si="49"/>
        <v>1</v>
      </c>
      <c r="P110" s="119">
        <f t="shared" si="76"/>
        <v>1</v>
      </c>
      <c r="Q110" s="120">
        <f t="shared" si="77"/>
        <v>1529776</v>
      </c>
      <c r="R110" s="103">
        <f t="shared" si="78"/>
        <v>0</v>
      </c>
      <c r="S110" s="104">
        <f t="shared" si="79"/>
        <v>0</v>
      </c>
      <c r="T110" s="119">
        <f t="shared" si="80"/>
        <v>1</v>
      </c>
      <c r="U110" s="121"/>
      <c r="V110" s="122">
        <f t="shared" si="81"/>
        <v>1529776</v>
      </c>
      <c r="W110" s="123">
        <f t="shared" si="82"/>
        <v>0</v>
      </c>
      <c r="X110" s="124">
        <f t="shared" si="83"/>
        <v>0</v>
      </c>
      <c r="Y110" s="125">
        <f t="shared" si="58"/>
        <v>0</v>
      </c>
      <c r="Z110" s="126">
        <f t="shared" si="59"/>
        <v>0</v>
      </c>
      <c r="AA110" s="126">
        <f t="shared" si="60"/>
        <v>1529776</v>
      </c>
    </row>
    <row r="111" spans="1:27" s="87" customFormat="1" ht="13.5" customHeight="1">
      <c r="A111" s="109"/>
      <c r="B111" s="110"/>
      <c r="C111" s="111" t="s">
        <v>136</v>
      </c>
      <c r="D111" s="148" t="s">
        <v>137</v>
      </c>
      <c r="E111" s="113" t="s">
        <v>2</v>
      </c>
      <c r="F111" s="114">
        <v>245839</v>
      </c>
      <c r="G111" s="115">
        <v>1</v>
      </c>
      <c r="H111" s="116">
        <f t="shared" si="72"/>
        <v>245839</v>
      </c>
      <c r="I111" s="117">
        <v>0</v>
      </c>
      <c r="J111" s="99">
        <f t="shared" si="73"/>
        <v>0</v>
      </c>
      <c r="K111" s="118"/>
      <c r="L111" s="99">
        <f t="shared" si="74"/>
        <v>0</v>
      </c>
      <c r="M111" s="118"/>
      <c r="N111" s="99">
        <f t="shared" si="75"/>
        <v>0</v>
      </c>
      <c r="O111" s="100">
        <f t="shared" si="49"/>
        <v>0</v>
      </c>
      <c r="P111" s="119">
        <f t="shared" si="76"/>
        <v>0</v>
      </c>
      <c r="Q111" s="120">
        <f t="shared" si="77"/>
        <v>0</v>
      </c>
      <c r="R111" s="103">
        <f t="shared" si="78"/>
        <v>0</v>
      </c>
      <c r="S111" s="104">
        <f t="shared" si="79"/>
        <v>0</v>
      </c>
      <c r="T111" s="119">
        <f t="shared" si="80"/>
        <v>0</v>
      </c>
      <c r="U111" s="121"/>
      <c r="V111" s="122">
        <f t="shared" si="81"/>
        <v>0</v>
      </c>
      <c r="W111" s="123">
        <f t="shared" si="82"/>
        <v>0</v>
      </c>
      <c r="X111" s="124">
        <f t="shared" si="83"/>
        <v>0</v>
      </c>
      <c r="Y111" s="125">
        <f t="shared" si="58"/>
        <v>0</v>
      </c>
      <c r="Z111" s="126">
        <f t="shared" si="59"/>
        <v>0</v>
      </c>
      <c r="AA111" s="126">
        <f t="shared" si="60"/>
        <v>0</v>
      </c>
    </row>
    <row r="112" spans="1:27" s="87" customFormat="1" ht="13.5" customHeight="1">
      <c r="A112" s="109"/>
      <c r="B112" s="110"/>
      <c r="C112" s="111" t="s">
        <v>138</v>
      </c>
      <c r="D112" s="148" t="s">
        <v>98</v>
      </c>
      <c r="E112" s="113" t="s">
        <v>2</v>
      </c>
      <c r="F112" s="114">
        <v>912690</v>
      </c>
      <c r="G112" s="115">
        <v>2</v>
      </c>
      <c r="H112" s="116">
        <f t="shared" si="72"/>
        <v>1825380</v>
      </c>
      <c r="I112" s="117">
        <v>2</v>
      </c>
      <c r="J112" s="99">
        <f t="shared" si="73"/>
        <v>1825380</v>
      </c>
      <c r="K112" s="118"/>
      <c r="L112" s="99">
        <f t="shared" si="74"/>
        <v>0</v>
      </c>
      <c r="M112" s="118"/>
      <c r="N112" s="99">
        <f t="shared" si="75"/>
        <v>0</v>
      </c>
      <c r="O112" s="100">
        <f t="shared" si="49"/>
        <v>2</v>
      </c>
      <c r="P112" s="119">
        <f t="shared" si="76"/>
        <v>2</v>
      </c>
      <c r="Q112" s="120">
        <f t="shared" si="77"/>
        <v>1825380</v>
      </c>
      <c r="R112" s="103">
        <f t="shared" si="78"/>
        <v>0</v>
      </c>
      <c r="S112" s="104">
        <f t="shared" si="79"/>
        <v>0</v>
      </c>
      <c r="T112" s="119">
        <f t="shared" si="80"/>
        <v>2</v>
      </c>
      <c r="U112" s="121"/>
      <c r="V112" s="122">
        <f t="shared" si="81"/>
        <v>1825380</v>
      </c>
      <c r="W112" s="123">
        <f t="shared" si="82"/>
        <v>0</v>
      </c>
      <c r="X112" s="124">
        <f t="shared" si="83"/>
        <v>0</v>
      </c>
      <c r="Y112" s="125">
        <f t="shared" si="58"/>
        <v>0</v>
      </c>
      <c r="Z112" s="126">
        <f t="shared" si="59"/>
        <v>0</v>
      </c>
      <c r="AA112" s="126">
        <f t="shared" si="60"/>
        <v>1825380</v>
      </c>
    </row>
    <row r="113" spans="1:27" s="87" customFormat="1" ht="13.5" customHeight="1">
      <c r="A113" s="109"/>
      <c r="B113" s="110"/>
      <c r="C113" s="111" t="s">
        <v>139</v>
      </c>
      <c r="D113" s="148" t="s">
        <v>140</v>
      </c>
      <c r="E113" s="113" t="s">
        <v>2</v>
      </c>
      <c r="F113" s="114">
        <v>326458</v>
      </c>
      <c r="G113" s="115">
        <v>1</v>
      </c>
      <c r="H113" s="116">
        <f t="shared" si="72"/>
        <v>326458</v>
      </c>
      <c r="I113" s="117">
        <v>1</v>
      </c>
      <c r="J113" s="99">
        <f t="shared" si="73"/>
        <v>326458</v>
      </c>
      <c r="K113" s="118"/>
      <c r="L113" s="99">
        <f t="shared" si="74"/>
        <v>0</v>
      </c>
      <c r="M113" s="118"/>
      <c r="N113" s="99">
        <f t="shared" si="75"/>
        <v>0</v>
      </c>
      <c r="O113" s="100">
        <f t="shared" si="49"/>
        <v>1</v>
      </c>
      <c r="P113" s="119">
        <f t="shared" si="76"/>
        <v>1</v>
      </c>
      <c r="Q113" s="120">
        <f t="shared" si="77"/>
        <v>326458</v>
      </c>
      <c r="R113" s="103">
        <f t="shared" si="78"/>
        <v>0</v>
      </c>
      <c r="S113" s="104">
        <f t="shared" si="79"/>
        <v>0</v>
      </c>
      <c r="T113" s="119">
        <f t="shared" si="80"/>
        <v>1</v>
      </c>
      <c r="U113" s="121"/>
      <c r="V113" s="122">
        <f t="shared" si="81"/>
        <v>326458</v>
      </c>
      <c r="W113" s="123">
        <f t="shared" si="82"/>
        <v>0</v>
      </c>
      <c r="X113" s="124">
        <f t="shared" si="83"/>
        <v>0</v>
      </c>
      <c r="Y113" s="125">
        <f t="shared" si="58"/>
        <v>0</v>
      </c>
      <c r="Z113" s="126">
        <f t="shared" si="59"/>
        <v>0</v>
      </c>
      <c r="AA113" s="126">
        <f t="shared" si="60"/>
        <v>326458</v>
      </c>
    </row>
    <row r="114" spans="1:27" s="87" customFormat="1" ht="13.5" customHeight="1">
      <c r="A114" s="109"/>
      <c r="B114" s="110"/>
      <c r="C114" s="111" t="s">
        <v>141</v>
      </c>
      <c r="D114" s="148" t="s">
        <v>28</v>
      </c>
      <c r="E114" s="113" t="s">
        <v>2</v>
      </c>
      <c r="F114" s="114">
        <v>281670</v>
      </c>
      <c r="G114" s="115">
        <v>1</v>
      </c>
      <c r="H114" s="116">
        <f t="shared" si="72"/>
        <v>281670</v>
      </c>
      <c r="I114" s="117">
        <v>1</v>
      </c>
      <c r="J114" s="99">
        <f t="shared" si="73"/>
        <v>281670</v>
      </c>
      <c r="K114" s="118"/>
      <c r="L114" s="99">
        <f t="shared" si="74"/>
        <v>0</v>
      </c>
      <c r="M114" s="118"/>
      <c r="N114" s="99">
        <f t="shared" si="75"/>
        <v>0</v>
      </c>
      <c r="O114" s="100">
        <f t="shared" si="49"/>
        <v>1</v>
      </c>
      <c r="P114" s="119">
        <f t="shared" si="76"/>
        <v>1</v>
      </c>
      <c r="Q114" s="120">
        <f t="shared" si="77"/>
        <v>281670</v>
      </c>
      <c r="R114" s="103">
        <f t="shared" si="78"/>
        <v>0</v>
      </c>
      <c r="S114" s="104">
        <f t="shared" si="79"/>
        <v>0</v>
      </c>
      <c r="T114" s="119">
        <f t="shared" si="80"/>
        <v>1</v>
      </c>
      <c r="U114" s="121"/>
      <c r="V114" s="122">
        <f t="shared" si="81"/>
        <v>281670</v>
      </c>
      <c r="W114" s="123">
        <f t="shared" si="82"/>
        <v>0</v>
      </c>
      <c r="X114" s="124">
        <f t="shared" si="83"/>
        <v>0</v>
      </c>
      <c r="Y114" s="125">
        <f t="shared" si="58"/>
        <v>0</v>
      </c>
      <c r="Z114" s="126">
        <f t="shared" si="59"/>
        <v>0</v>
      </c>
      <c r="AA114" s="126">
        <f t="shared" si="60"/>
        <v>281670</v>
      </c>
    </row>
    <row r="115" spans="1:27" s="87" customFormat="1" ht="13.5" customHeight="1">
      <c r="A115" s="109"/>
      <c r="B115" s="110"/>
      <c r="C115" s="111" t="s">
        <v>142</v>
      </c>
      <c r="D115" s="148" t="s">
        <v>143</v>
      </c>
      <c r="E115" s="113" t="s">
        <v>2</v>
      </c>
      <c r="F115" s="114">
        <v>1509870</v>
      </c>
      <c r="G115" s="115">
        <v>1</v>
      </c>
      <c r="H115" s="116">
        <f t="shared" si="72"/>
        <v>1509870</v>
      </c>
      <c r="I115" s="117">
        <v>1</v>
      </c>
      <c r="J115" s="99">
        <f t="shared" si="73"/>
        <v>1509870</v>
      </c>
      <c r="K115" s="118"/>
      <c r="L115" s="99">
        <f t="shared" si="74"/>
        <v>0</v>
      </c>
      <c r="M115" s="118"/>
      <c r="N115" s="99">
        <f t="shared" si="75"/>
        <v>0</v>
      </c>
      <c r="O115" s="100">
        <f t="shared" si="49"/>
        <v>1</v>
      </c>
      <c r="P115" s="119">
        <f t="shared" si="76"/>
        <v>1</v>
      </c>
      <c r="Q115" s="120">
        <f t="shared" si="77"/>
        <v>1509870</v>
      </c>
      <c r="R115" s="103">
        <f t="shared" si="78"/>
        <v>0</v>
      </c>
      <c r="S115" s="104">
        <f t="shared" si="79"/>
        <v>0</v>
      </c>
      <c r="T115" s="119">
        <f t="shared" si="80"/>
        <v>1</v>
      </c>
      <c r="U115" s="121"/>
      <c r="V115" s="122">
        <f t="shared" si="81"/>
        <v>1509870</v>
      </c>
      <c r="W115" s="123">
        <f t="shared" si="82"/>
        <v>0</v>
      </c>
      <c r="X115" s="124">
        <f t="shared" si="83"/>
        <v>0</v>
      </c>
      <c r="Y115" s="125">
        <f t="shared" si="58"/>
        <v>0</v>
      </c>
      <c r="Z115" s="126">
        <f t="shared" si="59"/>
        <v>0</v>
      </c>
      <c r="AA115" s="126">
        <f t="shared" si="60"/>
        <v>1509870</v>
      </c>
    </row>
    <row r="116" spans="1:27" s="87" customFormat="1" ht="13.5" customHeight="1">
      <c r="A116" s="109"/>
      <c r="B116" s="110"/>
      <c r="C116" s="111" t="s">
        <v>144</v>
      </c>
      <c r="D116" s="148" t="s">
        <v>145</v>
      </c>
      <c r="E116" s="113" t="s">
        <v>2</v>
      </c>
      <c r="F116" s="114">
        <v>281670</v>
      </c>
      <c r="G116" s="115">
        <v>2</v>
      </c>
      <c r="H116" s="116">
        <f t="shared" si="72"/>
        <v>563340</v>
      </c>
      <c r="I116" s="117">
        <v>0</v>
      </c>
      <c r="J116" s="99">
        <f t="shared" si="73"/>
        <v>0</v>
      </c>
      <c r="K116" s="118"/>
      <c r="L116" s="99">
        <f t="shared" si="74"/>
        <v>0</v>
      </c>
      <c r="M116" s="118"/>
      <c r="N116" s="99">
        <f t="shared" si="75"/>
        <v>0</v>
      </c>
      <c r="O116" s="100">
        <f t="shared" si="49"/>
        <v>0</v>
      </c>
      <c r="P116" s="119">
        <f t="shared" si="76"/>
        <v>0</v>
      </c>
      <c r="Q116" s="120">
        <f t="shared" si="77"/>
        <v>0</v>
      </c>
      <c r="R116" s="103">
        <f t="shared" si="78"/>
        <v>0</v>
      </c>
      <c r="S116" s="104">
        <f t="shared" si="79"/>
        <v>0</v>
      </c>
      <c r="T116" s="119">
        <f t="shared" si="80"/>
        <v>0</v>
      </c>
      <c r="U116" s="121"/>
      <c r="V116" s="122">
        <f t="shared" si="81"/>
        <v>0</v>
      </c>
      <c r="W116" s="123">
        <f t="shared" si="82"/>
        <v>0</v>
      </c>
      <c r="X116" s="124">
        <f t="shared" si="83"/>
        <v>0</v>
      </c>
      <c r="Y116" s="125">
        <f t="shared" si="58"/>
        <v>0</v>
      </c>
      <c r="Z116" s="126">
        <f t="shared" si="59"/>
        <v>0</v>
      </c>
      <c r="AA116" s="126">
        <f t="shared" si="60"/>
        <v>0</v>
      </c>
    </row>
    <row r="117" spans="1:27" s="87" customFormat="1" ht="13.5" customHeight="1">
      <c r="A117" s="109"/>
      <c r="B117" s="110"/>
      <c r="C117" s="111" t="s">
        <v>146</v>
      </c>
      <c r="D117" s="148" t="s">
        <v>147</v>
      </c>
      <c r="E117" s="113" t="s">
        <v>2</v>
      </c>
      <c r="F117" s="114">
        <v>295604</v>
      </c>
      <c r="G117" s="115">
        <v>4</v>
      </c>
      <c r="H117" s="116">
        <f t="shared" si="72"/>
        <v>1182416</v>
      </c>
      <c r="I117" s="117">
        <v>4</v>
      </c>
      <c r="J117" s="99">
        <f t="shared" si="73"/>
        <v>1182416</v>
      </c>
      <c r="K117" s="118"/>
      <c r="L117" s="99">
        <f t="shared" si="74"/>
        <v>0</v>
      </c>
      <c r="M117" s="118"/>
      <c r="N117" s="99">
        <f t="shared" si="75"/>
        <v>0</v>
      </c>
      <c r="O117" s="128"/>
      <c r="P117" s="119"/>
      <c r="Q117" s="120">
        <f t="shared" si="77"/>
        <v>0</v>
      </c>
      <c r="R117" s="103">
        <f t="shared" si="78"/>
        <v>4</v>
      </c>
      <c r="S117" s="104">
        <f t="shared" si="79"/>
        <v>1182416</v>
      </c>
      <c r="T117" s="119">
        <f t="shared" si="80"/>
        <v>4</v>
      </c>
      <c r="U117" s="121"/>
      <c r="V117" s="122">
        <f t="shared" si="81"/>
        <v>1182416</v>
      </c>
      <c r="W117" s="123">
        <f t="shared" si="82"/>
        <v>0</v>
      </c>
      <c r="X117" s="124">
        <f t="shared" si="83"/>
        <v>0</v>
      </c>
      <c r="Y117" s="125">
        <f t="shared" si="58"/>
        <v>0</v>
      </c>
      <c r="Z117" s="126">
        <f t="shared" si="59"/>
        <v>0</v>
      </c>
      <c r="AA117" s="126">
        <f t="shared" si="60"/>
        <v>0</v>
      </c>
    </row>
    <row r="118" spans="1:27" s="87" customFormat="1" ht="13.5" customHeight="1">
      <c r="A118" s="109"/>
      <c r="B118" s="110"/>
      <c r="C118" s="111" t="s">
        <v>148</v>
      </c>
      <c r="D118" s="148" t="s">
        <v>149</v>
      </c>
      <c r="E118" s="113" t="s">
        <v>2</v>
      </c>
      <c r="F118" s="114">
        <v>4975505</v>
      </c>
      <c r="G118" s="115">
        <v>1</v>
      </c>
      <c r="H118" s="116">
        <f t="shared" si="72"/>
        <v>4975505</v>
      </c>
      <c r="I118" s="117">
        <v>1</v>
      </c>
      <c r="J118" s="99">
        <f t="shared" si="73"/>
        <v>4975505</v>
      </c>
      <c r="K118" s="118"/>
      <c r="L118" s="99">
        <f t="shared" si="74"/>
        <v>0</v>
      </c>
      <c r="M118" s="118"/>
      <c r="N118" s="99">
        <f t="shared" si="75"/>
        <v>0</v>
      </c>
      <c r="O118" s="128"/>
      <c r="P118" s="119"/>
      <c r="Q118" s="120">
        <f t="shared" si="77"/>
        <v>0</v>
      </c>
      <c r="R118" s="103">
        <f t="shared" si="78"/>
        <v>1</v>
      </c>
      <c r="S118" s="104">
        <f t="shared" si="79"/>
        <v>4975505</v>
      </c>
      <c r="T118" s="119">
        <f t="shared" si="80"/>
        <v>1</v>
      </c>
      <c r="U118" s="121"/>
      <c r="V118" s="122">
        <f t="shared" si="81"/>
        <v>4975505</v>
      </c>
      <c r="W118" s="123">
        <f t="shared" si="82"/>
        <v>0</v>
      </c>
      <c r="X118" s="124">
        <f t="shared" si="83"/>
        <v>0</v>
      </c>
      <c r="Y118" s="125">
        <f t="shared" si="58"/>
        <v>0</v>
      </c>
      <c r="Z118" s="126">
        <f t="shared" si="59"/>
        <v>0</v>
      </c>
      <c r="AA118" s="126">
        <f t="shared" si="60"/>
        <v>0</v>
      </c>
    </row>
    <row r="119" spans="1:27" s="87" customFormat="1" ht="13.5" customHeight="1">
      <c r="A119" s="109"/>
      <c r="B119" s="110"/>
      <c r="C119" s="111" t="s">
        <v>150</v>
      </c>
      <c r="D119" s="148" t="s">
        <v>151</v>
      </c>
      <c r="E119" s="113" t="s">
        <v>2</v>
      </c>
      <c r="F119" s="114">
        <v>260769</v>
      </c>
      <c r="G119" s="115">
        <v>10</v>
      </c>
      <c r="H119" s="116">
        <f t="shared" si="72"/>
        <v>2607690</v>
      </c>
      <c r="I119" s="117">
        <v>0</v>
      </c>
      <c r="J119" s="99">
        <f t="shared" si="73"/>
        <v>0</v>
      </c>
      <c r="K119" s="118"/>
      <c r="L119" s="99">
        <f t="shared" si="74"/>
        <v>0</v>
      </c>
      <c r="M119" s="118"/>
      <c r="N119" s="99">
        <f t="shared" si="75"/>
        <v>0</v>
      </c>
      <c r="O119" s="100">
        <f t="shared" si="49"/>
        <v>0</v>
      </c>
      <c r="P119" s="119">
        <f t="shared" si="76"/>
        <v>0</v>
      </c>
      <c r="Q119" s="120">
        <f t="shared" si="77"/>
        <v>0</v>
      </c>
      <c r="R119" s="103">
        <f t="shared" si="78"/>
        <v>0</v>
      </c>
      <c r="S119" s="104">
        <f t="shared" si="79"/>
        <v>0</v>
      </c>
      <c r="T119" s="119">
        <f t="shared" si="80"/>
        <v>0</v>
      </c>
      <c r="U119" s="121"/>
      <c r="V119" s="122">
        <f t="shared" si="81"/>
        <v>0</v>
      </c>
      <c r="W119" s="123">
        <f t="shared" si="82"/>
        <v>0</v>
      </c>
      <c r="X119" s="124">
        <f t="shared" si="83"/>
        <v>0</v>
      </c>
      <c r="Y119" s="125">
        <f t="shared" si="58"/>
        <v>0</v>
      </c>
      <c r="Z119" s="126">
        <f t="shared" si="59"/>
        <v>0</v>
      </c>
      <c r="AA119" s="126">
        <f t="shared" si="60"/>
        <v>0</v>
      </c>
    </row>
    <row r="120" spans="1:27" s="87" customFormat="1" ht="13.5" customHeight="1">
      <c r="A120" s="109"/>
      <c r="B120" s="110"/>
      <c r="C120" s="111"/>
      <c r="D120" s="148" t="s">
        <v>145</v>
      </c>
      <c r="E120" s="113" t="s">
        <v>2</v>
      </c>
      <c r="F120" s="114">
        <v>295604</v>
      </c>
      <c r="G120" s="115"/>
      <c r="H120" s="116"/>
      <c r="I120" s="117">
        <v>2</v>
      </c>
      <c r="J120" s="99">
        <f t="shared" si="73"/>
        <v>591208</v>
      </c>
      <c r="K120" s="118"/>
      <c r="L120" s="99">
        <f t="shared" si="74"/>
        <v>0</v>
      </c>
      <c r="M120" s="118"/>
      <c r="N120" s="99">
        <f>+M120*F120</f>
        <v>0</v>
      </c>
      <c r="O120" s="100">
        <f t="shared" si="49"/>
        <v>2</v>
      </c>
      <c r="P120" s="119">
        <f t="shared" si="76"/>
        <v>2</v>
      </c>
      <c r="Q120" s="120">
        <f t="shared" si="77"/>
        <v>591208</v>
      </c>
      <c r="R120" s="103">
        <f t="shared" si="78"/>
        <v>0</v>
      </c>
      <c r="S120" s="104">
        <f t="shared" si="79"/>
        <v>0</v>
      </c>
      <c r="T120" s="119">
        <f t="shared" si="80"/>
        <v>2</v>
      </c>
      <c r="U120" s="121"/>
      <c r="V120" s="122">
        <f t="shared" si="81"/>
        <v>591208</v>
      </c>
      <c r="W120" s="123">
        <f t="shared" si="82"/>
        <v>0</v>
      </c>
      <c r="X120" s="124">
        <f t="shared" si="83"/>
        <v>0</v>
      </c>
      <c r="Y120" s="125">
        <f t="shared" si="58"/>
        <v>0</v>
      </c>
      <c r="Z120" s="126">
        <f t="shared" si="59"/>
        <v>0</v>
      </c>
      <c r="AA120" s="126">
        <f t="shared" si="60"/>
        <v>591208</v>
      </c>
    </row>
    <row r="121" spans="1:27" s="87" customFormat="1" ht="13.5" customHeight="1">
      <c r="A121" s="109"/>
      <c r="B121" s="110"/>
      <c r="C121" s="90"/>
      <c r="D121" s="129" t="s">
        <v>31</v>
      </c>
      <c r="E121" s="130"/>
      <c r="F121" s="131"/>
      <c r="G121" s="132"/>
      <c r="H121" s="133">
        <f>SUM(H108:H120)</f>
        <v>24554054</v>
      </c>
      <c r="I121" s="134"/>
      <c r="J121" s="135">
        <f>SUM(J108:J120)</f>
        <v>21728393</v>
      </c>
      <c r="K121" s="136"/>
      <c r="L121" s="135">
        <f>SUM(L108:L120)</f>
        <v>0</v>
      </c>
      <c r="M121" s="136"/>
      <c r="N121" s="135">
        <f>SUM(N108:N120)</f>
        <v>0</v>
      </c>
      <c r="O121" s="100">
        <f t="shared" si="49"/>
        <v>0</v>
      </c>
      <c r="P121" s="137"/>
      <c r="Q121" s="133">
        <f>SUM(Q108:Q120)</f>
        <v>15570472</v>
      </c>
      <c r="R121" s="138"/>
      <c r="S121" s="133">
        <f>SUM(S108:S120)</f>
        <v>6157921</v>
      </c>
      <c r="T121" s="137"/>
      <c r="U121" s="139"/>
      <c r="V121" s="133">
        <f>SUM(V108:V120)</f>
        <v>21728393</v>
      </c>
      <c r="W121" s="140"/>
      <c r="X121" s="141">
        <f>SUM(X108:X120)</f>
        <v>0</v>
      </c>
      <c r="Y121" s="125">
        <f t="shared" si="58"/>
        <v>0</v>
      </c>
      <c r="Z121" s="126">
        <f t="shared" si="59"/>
        <v>0</v>
      </c>
      <c r="AA121" s="126">
        <f t="shared" si="60"/>
        <v>15570472</v>
      </c>
    </row>
    <row r="122" spans="1:27" s="87" customFormat="1" ht="13.5" customHeight="1">
      <c r="A122" s="109">
        <v>11</v>
      </c>
      <c r="B122" s="110"/>
      <c r="C122" s="90"/>
      <c r="D122" s="631" t="s">
        <v>302</v>
      </c>
      <c r="E122" s="632"/>
      <c r="F122" s="632"/>
      <c r="G122" s="632"/>
      <c r="H122" s="632"/>
      <c r="I122" s="117"/>
      <c r="J122" s="99"/>
      <c r="K122" s="118"/>
      <c r="L122" s="99"/>
      <c r="M122" s="118"/>
      <c r="N122" s="99"/>
      <c r="O122" s="100">
        <f t="shared" si="49"/>
        <v>0</v>
      </c>
      <c r="P122" s="119"/>
      <c r="Q122" s="120"/>
      <c r="R122" s="103"/>
      <c r="S122" s="104"/>
      <c r="T122" s="119"/>
      <c r="U122" s="121"/>
      <c r="V122" s="122"/>
      <c r="W122" s="147"/>
      <c r="X122" s="124"/>
      <c r="Y122" s="125">
        <f t="shared" si="58"/>
        <v>0</v>
      </c>
      <c r="Z122" s="126">
        <f t="shared" si="59"/>
        <v>0</v>
      </c>
      <c r="AA122" s="126">
        <f t="shared" si="60"/>
        <v>0</v>
      </c>
    </row>
    <row r="123" spans="1:27" s="87" customFormat="1" ht="13.5" customHeight="1">
      <c r="A123" s="109"/>
      <c r="B123" s="110"/>
      <c r="C123" s="111" t="s">
        <v>152</v>
      </c>
      <c r="D123" s="148" t="s">
        <v>124</v>
      </c>
      <c r="E123" s="113" t="s">
        <v>2</v>
      </c>
      <c r="F123" s="114">
        <v>1145590</v>
      </c>
      <c r="G123" s="115">
        <v>1</v>
      </c>
      <c r="H123" s="116">
        <f aca="true" t="shared" si="84" ref="H123:H131">F123*G123</f>
        <v>1145590</v>
      </c>
      <c r="I123" s="117">
        <v>1</v>
      </c>
      <c r="J123" s="99">
        <f aca="true" t="shared" si="85" ref="J123:J131">+I123*F123</f>
        <v>1145590</v>
      </c>
      <c r="K123" s="118"/>
      <c r="L123" s="99">
        <f aca="true" t="shared" si="86" ref="L123:L131">+K123*F123</f>
        <v>0</v>
      </c>
      <c r="M123" s="118"/>
      <c r="N123" s="99">
        <f aca="true" t="shared" si="87" ref="N123:N131">+M123*F123</f>
        <v>0</v>
      </c>
      <c r="O123" s="128"/>
      <c r="P123" s="119"/>
      <c r="Q123" s="120">
        <f aca="true" t="shared" si="88" ref="Q123:Q131">+P123*F123</f>
        <v>0</v>
      </c>
      <c r="R123" s="103">
        <f aca="true" t="shared" si="89" ref="R123:R131">+I123-K123-M123-P123</f>
        <v>1</v>
      </c>
      <c r="S123" s="104">
        <f aca="true" t="shared" si="90" ref="S123:S131">+R123*F123</f>
        <v>1145590</v>
      </c>
      <c r="T123" s="119">
        <f aca="true" t="shared" si="91" ref="T123:T131">+K123+M123+O123+R123</f>
        <v>1</v>
      </c>
      <c r="U123" s="121"/>
      <c r="V123" s="122">
        <f aca="true" t="shared" si="92" ref="V123:V131">+T123*F123</f>
        <v>1145590</v>
      </c>
      <c r="W123" s="123">
        <f aca="true" t="shared" si="93" ref="W123:W131">+I123-T123</f>
        <v>0</v>
      </c>
      <c r="X123" s="124">
        <f aca="true" t="shared" si="94" ref="X123:X131">+W123*F123</f>
        <v>0</v>
      </c>
      <c r="Y123" s="125">
        <f t="shared" si="58"/>
        <v>0</v>
      </c>
      <c r="Z123" s="126">
        <f t="shared" si="59"/>
        <v>0</v>
      </c>
      <c r="AA123" s="126">
        <f t="shared" si="60"/>
        <v>0</v>
      </c>
    </row>
    <row r="124" spans="1:27" s="87" customFormat="1" ht="13.5" customHeight="1">
      <c r="A124" s="109"/>
      <c r="B124" s="110"/>
      <c r="C124" s="111" t="s">
        <v>153</v>
      </c>
      <c r="D124" s="148" t="s">
        <v>154</v>
      </c>
      <c r="E124" s="113" t="s">
        <v>2</v>
      </c>
      <c r="F124" s="114">
        <v>7395079</v>
      </c>
      <c r="G124" s="115">
        <v>1</v>
      </c>
      <c r="H124" s="116">
        <f t="shared" si="84"/>
        <v>7395079</v>
      </c>
      <c r="I124" s="117">
        <v>1</v>
      </c>
      <c r="J124" s="99">
        <f t="shared" si="85"/>
        <v>7395079</v>
      </c>
      <c r="K124" s="118"/>
      <c r="L124" s="99">
        <f t="shared" si="86"/>
        <v>0</v>
      </c>
      <c r="M124" s="118"/>
      <c r="N124" s="99">
        <f t="shared" si="87"/>
        <v>0</v>
      </c>
      <c r="O124" s="128"/>
      <c r="P124" s="119"/>
      <c r="Q124" s="120">
        <f t="shared" si="88"/>
        <v>0</v>
      </c>
      <c r="R124" s="103">
        <f t="shared" si="89"/>
        <v>1</v>
      </c>
      <c r="S124" s="104">
        <f t="shared" si="90"/>
        <v>7395079</v>
      </c>
      <c r="T124" s="119">
        <f t="shared" si="91"/>
        <v>1</v>
      </c>
      <c r="U124" s="121"/>
      <c r="V124" s="122">
        <f t="shared" si="92"/>
        <v>7395079</v>
      </c>
      <c r="W124" s="123">
        <f t="shared" si="93"/>
        <v>0</v>
      </c>
      <c r="X124" s="124">
        <f t="shared" si="94"/>
        <v>0</v>
      </c>
      <c r="Y124" s="125">
        <f t="shared" si="58"/>
        <v>0</v>
      </c>
      <c r="Z124" s="126">
        <f t="shared" si="59"/>
        <v>0</v>
      </c>
      <c r="AA124" s="126">
        <f t="shared" si="60"/>
        <v>0</v>
      </c>
    </row>
    <row r="125" spans="1:27" s="87" customFormat="1" ht="13.5" customHeight="1">
      <c r="A125" s="109"/>
      <c r="B125" s="110"/>
      <c r="C125" s="111" t="s">
        <v>155</v>
      </c>
      <c r="D125" s="148" t="s">
        <v>156</v>
      </c>
      <c r="E125" s="113" t="s">
        <v>2</v>
      </c>
      <c r="F125" s="114">
        <v>1529776</v>
      </c>
      <c r="G125" s="115">
        <v>1</v>
      </c>
      <c r="H125" s="116">
        <f t="shared" si="84"/>
        <v>1529776</v>
      </c>
      <c r="I125" s="117">
        <v>1</v>
      </c>
      <c r="J125" s="99">
        <f t="shared" si="85"/>
        <v>1529776</v>
      </c>
      <c r="K125" s="118"/>
      <c r="L125" s="99">
        <f t="shared" si="86"/>
        <v>0</v>
      </c>
      <c r="M125" s="118"/>
      <c r="N125" s="99">
        <f t="shared" si="87"/>
        <v>0</v>
      </c>
      <c r="O125" s="128"/>
      <c r="P125" s="119"/>
      <c r="Q125" s="120">
        <f t="shared" si="88"/>
        <v>0</v>
      </c>
      <c r="R125" s="103">
        <f t="shared" si="89"/>
        <v>1</v>
      </c>
      <c r="S125" s="104">
        <f t="shared" si="90"/>
        <v>1529776</v>
      </c>
      <c r="T125" s="119">
        <f t="shared" si="91"/>
        <v>1</v>
      </c>
      <c r="U125" s="121"/>
      <c r="V125" s="122">
        <f t="shared" si="92"/>
        <v>1529776</v>
      </c>
      <c r="W125" s="123">
        <f t="shared" si="93"/>
        <v>0</v>
      </c>
      <c r="X125" s="124">
        <f t="shared" si="94"/>
        <v>0</v>
      </c>
      <c r="Y125" s="125">
        <f t="shared" si="58"/>
        <v>0</v>
      </c>
      <c r="Z125" s="126">
        <f t="shared" si="59"/>
        <v>0</v>
      </c>
      <c r="AA125" s="126">
        <f t="shared" si="60"/>
        <v>0</v>
      </c>
    </row>
    <row r="126" spans="1:27" s="87" customFormat="1" ht="13.5" customHeight="1">
      <c r="A126" s="109"/>
      <c r="B126" s="110"/>
      <c r="C126" s="111" t="s">
        <v>157</v>
      </c>
      <c r="D126" s="148" t="s">
        <v>98</v>
      </c>
      <c r="E126" s="113" t="s">
        <v>2</v>
      </c>
      <c r="F126" s="114">
        <v>912690</v>
      </c>
      <c r="G126" s="115">
        <v>2</v>
      </c>
      <c r="H126" s="116">
        <f t="shared" si="84"/>
        <v>1825380</v>
      </c>
      <c r="I126" s="117">
        <v>2</v>
      </c>
      <c r="J126" s="99">
        <f t="shared" si="85"/>
        <v>1825380</v>
      </c>
      <c r="K126" s="118"/>
      <c r="L126" s="99">
        <f t="shared" si="86"/>
        <v>0</v>
      </c>
      <c r="M126" s="118"/>
      <c r="N126" s="99">
        <f t="shared" si="87"/>
        <v>0</v>
      </c>
      <c r="O126" s="128"/>
      <c r="P126" s="119"/>
      <c r="Q126" s="120">
        <f t="shared" si="88"/>
        <v>0</v>
      </c>
      <c r="R126" s="103">
        <f t="shared" si="89"/>
        <v>2</v>
      </c>
      <c r="S126" s="104">
        <f t="shared" si="90"/>
        <v>1825380</v>
      </c>
      <c r="T126" s="119">
        <f t="shared" si="91"/>
        <v>2</v>
      </c>
      <c r="U126" s="121"/>
      <c r="V126" s="122">
        <f t="shared" si="92"/>
        <v>1825380</v>
      </c>
      <c r="W126" s="123">
        <f t="shared" si="93"/>
        <v>0</v>
      </c>
      <c r="X126" s="124">
        <f t="shared" si="94"/>
        <v>0</v>
      </c>
      <c r="Y126" s="125">
        <f t="shared" si="58"/>
        <v>0</v>
      </c>
      <c r="Z126" s="126">
        <f t="shared" si="59"/>
        <v>0</v>
      </c>
      <c r="AA126" s="126">
        <f t="shared" si="60"/>
        <v>0</v>
      </c>
    </row>
    <row r="127" spans="1:27" s="87" customFormat="1" ht="13.5" customHeight="1">
      <c r="A127" s="109"/>
      <c r="B127" s="110"/>
      <c r="C127" s="111" t="s">
        <v>158</v>
      </c>
      <c r="D127" s="148" t="s">
        <v>140</v>
      </c>
      <c r="E127" s="113" t="s">
        <v>2</v>
      </c>
      <c r="F127" s="114">
        <v>326458</v>
      </c>
      <c r="G127" s="115">
        <v>1</v>
      </c>
      <c r="H127" s="116">
        <f t="shared" si="84"/>
        <v>326458</v>
      </c>
      <c r="I127" s="117">
        <v>1</v>
      </c>
      <c r="J127" s="99">
        <f t="shared" si="85"/>
        <v>326458</v>
      </c>
      <c r="K127" s="118"/>
      <c r="L127" s="99">
        <f t="shared" si="86"/>
        <v>0</v>
      </c>
      <c r="M127" s="118"/>
      <c r="N127" s="99">
        <f t="shared" si="87"/>
        <v>0</v>
      </c>
      <c r="O127" s="128"/>
      <c r="P127" s="119"/>
      <c r="Q127" s="120">
        <f t="shared" si="88"/>
        <v>0</v>
      </c>
      <c r="R127" s="103">
        <f t="shared" si="89"/>
        <v>1</v>
      </c>
      <c r="S127" s="104">
        <f t="shared" si="90"/>
        <v>326458</v>
      </c>
      <c r="T127" s="119">
        <f t="shared" si="91"/>
        <v>1</v>
      </c>
      <c r="U127" s="121"/>
      <c r="V127" s="122">
        <f t="shared" si="92"/>
        <v>326458</v>
      </c>
      <c r="W127" s="123">
        <f t="shared" si="93"/>
        <v>0</v>
      </c>
      <c r="X127" s="124">
        <f t="shared" si="94"/>
        <v>0</v>
      </c>
      <c r="Y127" s="125">
        <f t="shared" si="58"/>
        <v>0</v>
      </c>
      <c r="Z127" s="126">
        <f t="shared" si="59"/>
        <v>0</v>
      </c>
      <c r="AA127" s="126">
        <f t="shared" si="60"/>
        <v>0</v>
      </c>
    </row>
    <row r="128" spans="1:27" s="87" customFormat="1" ht="13.5" customHeight="1">
      <c r="A128" s="109"/>
      <c r="B128" s="110"/>
      <c r="C128" s="111" t="s">
        <v>159</v>
      </c>
      <c r="D128" s="148" t="s">
        <v>28</v>
      </c>
      <c r="E128" s="113" t="s">
        <v>2</v>
      </c>
      <c r="F128" s="114">
        <v>281670</v>
      </c>
      <c r="G128" s="115">
        <v>1</v>
      </c>
      <c r="H128" s="116">
        <f t="shared" si="84"/>
        <v>281670</v>
      </c>
      <c r="I128" s="117">
        <v>1</v>
      </c>
      <c r="J128" s="99">
        <f t="shared" si="85"/>
        <v>281670</v>
      </c>
      <c r="K128" s="118"/>
      <c r="L128" s="99">
        <f t="shared" si="86"/>
        <v>0</v>
      </c>
      <c r="M128" s="118">
        <v>1</v>
      </c>
      <c r="N128" s="99">
        <f t="shared" si="87"/>
        <v>281670</v>
      </c>
      <c r="O128" s="128"/>
      <c r="P128" s="119"/>
      <c r="Q128" s="120">
        <f t="shared" si="88"/>
        <v>0</v>
      </c>
      <c r="R128" s="103">
        <f t="shared" si="89"/>
        <v>0</v>
      </c>
      <c r="S128" s="104">
        <f t="shared" si="90"/>
        <v>0</v>
      </c>
      <c r="T128" s="119">
        <f t="shared" si="91"/>
        <v>1</v>
      </c>
      <c r="U128" s="121"/>
      <c r="V128" s="122">
        <f t="shared" si="92"/>
        <v>281670</v>
      </c>
      <c r="W128" s="123">
        <f t="shared" si="93"/>
        <v>0</v>
      </c>
      <c r="X128" s="124">
        <f t="shared" si="94"/>
        <v>0</v>
      </c>
      <c r="Y128" s="125">
        <f t="shared" si="58"/>
        <v>0</v>
      </c>
      <c r="Z128" s="126">
        <f t="shared" si="59"/>
        <v>0</v>
      </c>
      <c r="AA128" s="126">
        <f t="shared" si="60"/>
        <v>0</v>
      </c>
    </row>
    <row r="129" spans="1:27" s="87" customFormat="1" ht="13.5" customHeight="1">
      <c r="A129" s="109"/>
      <c r="B129" s="110"/>
      <c r="C129" s="111" t="s">
        <v>160</v>
      </c>
      <c r="D129" s="148" t="s">
        <v>303</v>
      </c>
      <c r="E129" s="113" t="s">
        <v>2</v>
      </c>
      <c r="F129" s="114">
        <v>1509870</v>
      </c>
      <c r="G129" s="115">
        <v>1</v>
      </c>
      <c r="H129" s="116">
        <f t="shared" si="84"/>
        <v>1509870</v>
      </c>
      <c r="I129" s="117">
        <v>1</v>
      </c>
      <c r="J129" s="99">
        <f t="shared" si="85"/>
        <v>1509870</v>
      </c>
      <c r="K129" s="118"/>
      <c r="L129" s="99">
        <f t="shared" si="86"/>
        <v>0</v>
      </c>
      <c r="M129" s="118"/>
      <c r="N129" s="99">
        <f t="shared" si="87"/>
        <v>0</v>
      </c>
      <c r="O129" s="128"/>
      <c r="P129" s="119"/>
      <c r="Q129" s="120">
        <f t="shared" si="88"/>
        <v>0</v>
      </c>
      <c r="R129" s="103">
        <f t="shared" si="89"/>
        <v>1</v>
      </c>
      <c r="S129" s="104">
        <f t="shared" si="90"/>
        <v>1509870</v>
      </c>
      <c r="T129" s="119">
        <f t="shared" si="91"/>
        <v>1</v>
      </c>
      <c r="U129" s="121"/>
      <c r="V129" s="122">
        <f t="shared" si="92"/>
        <v>1509870</v>
      </c>
      <c r="W129" s="123">
        <f t="shared" si="93"/>
        <v>0</v>
      </c>
      <c r="X129" s="124">
        <f t="shared" si="94"/>
        <v>0</v>
      </c>
      <c r="Y129" s="125">
        <f t="shared" si="58"/>
        <v>0</v>
      </c>
      <c r="Z129" s="126">
        <f t="shared" si="59"/>
        <v>0</v>
      </c>
      <c r="AA129" s="126">
        <f t="shared" si="60"/>
        <v>0</v>
      </c>
    </row>
    <row r="130" spans="1:27" s="87" customFormat="1" ht="13.5" customHeight="1">
      <c r="A130" s="109"/>
      <c r="B130" s="110"/>
      <c r="C130" s="111" t="s">
        <v>162</v>
      </c>
      <c r="D130" s="148" t="s">
        <v>163</v>
      </c>
      <c r="E130" s="113" t="s">
        <v>2</v>
      </c>
      <c r="F130" s="114">
        <v>281670</v>
      </c>
      <c r="G130" s="115">
        <v>2</v>
      </c>
      <c r="H130" s="116">
        <f t="shared" si="84"/>
        <v>563340</v>
      </c>
      <c r="I130" s="117">
        <v>0</v>
      </c>
      <c r="J130" s="99">
        <f t="shared" si="85"/>
        <v>0</v>
      </c>
      <c r="K130" s="118"/>
      <c r="L130" s="99">
        <f t="shared" si="86"/>
        <v>0</v>
      </c>
      <c r="M130" s="118"/>
      <c r="N130" s="99">
        <f t="shared" si="87"/>
        <v>0</v>
      </c>
      <c r="O130" s="128"/>
      <c r="P130" s="119"/>
      <c r="Q130" s="120">
        <f t="shared" si="88"/>
        <v>0</v>
      </c>
      <c r="R130" s="103">
        <f t="shared" si="89"/>
        <v>0</v>
      </c>
      <c r="S130" s="104">
        <f t="shared" si="90"/>
        <v>0</v>
      </c>
      <c r="T130" s="119">
        <f t="shared" si="91"/>
        <v>0</v>
      </c>
      <c r="U130" s="121"/>
      <c r="V130" s="122">
        <f t="shared" si="92"/>
        <v>0</v>
      </c>
      <c r="W130" s="123">
        <f t="shared" si="93"/>
        <v>0</v>
      </c>
      <c r="X130" s="124">
        <f t="shared" si="94"/>
        <v>0</v>
      </c>
      <c r="Y130" s="125">
        <f t="shared" si="58"/>
        <v>0</v>
      </c>
      <c r="Z130" s="126">
        <f t="shared" si="59"/>
        <v>0</v>
      </c>
      <c r="AA130" s="126">
        <f t="shared" si="60"/>
        <v>0</v>
      </c>
    </row>
    <row r="131" spans="1:27" s="87" customFormat="1" ht="13.5" customHeight="1">
      <c r="A131" s="109"/>
      <c r="B131" s="110"/>
      <c r="C131" s="111" t="s">
        <v>164</v>
      </c>
      <c r="D131" s="148" t="s">
        <v>165</v>
      </c>
      <c r="E131" s="113" t="s">
        <v>2</v>
      </c>
      <c r="F131" s="114">
        <v>295604</v>
      </c>
      <c r="G131" s="115">
        <v>4</v>
      </c>
      <c r="H131" s="116">
        <f t="shared" si="84"/>
        <v>1182416</v>
      </c>
      <c r="I131" s="117">
        <v>6</v>
      </c>
      <c r="J131" s="99">
        <f t="shared" si="85"/>
        <v>1773624</v>
      </c>
      <c r="K131" s="118"/>
      <c r="L131" s="99">
        <f t="shared" si="86"/>
        <v>0</v>
      </c>
      <c r="M131" s="118"/>
      <c r="N131" s="99">
        <f t="shared" si="87"/>
        <v>0</v>
      </c>
      <c r="O131" s="128"/>
      <c r="P131" s="119"/>
      <c r="Q131" s="120">
        <f t="shared" si="88"/>
        <v>0</v>
      </c>
      <c r="R131" s="103">
        <f t="shared" si="89"/>
        <v>6</v>
      </c>
      <c r="S131" s="104">
        <f t="shared" si="90"/>
        <v>1773624</v>
      </c>
      <c r="T131" s="119">
        <f t="shared" si="91"/>
        <v>6</v>
      </c>
      <c r="U131" s="121"/>
      <c r="V131" s="122">
        <f t="shared" si="92"/>
        <v>1773624</v>
      </c>
      <c r="W131" s="123">
        <f t="shared" si="93"/>
        <v>0</v>
      </c>
      <c r="X131" s="124">
        <f t="shared" si="94"/>
        <v>0</v>
      </c>
      <c r="Y131" s="125">
        <f t="shared" si="58"/>
        <v>0</v>
      </c>
      <c r="Z131" s="126">
        <f t="shared" si="59"/>
        <v>0</v>
      </c>
      <c r="AA131" s="126">
        <f t="shared" si="60"/>
        <v>0</v>
      </c>
    </row>
    <row r="132" spans="1:27" s="87" customFormat="1" ht="13.5" customHeight="1">
      <c r="A132" s="109"/>
      <c r="B132" s="110"/>
      <c r="C132" s="90"/>
      <c r="D132" s="129" t="s">
        <v>31</v>
      </c>
      <c r="E132" s="130"/>
      <c r="F132" s="131"/>
      <c r="G132" s="132"/>
      <c r="H132" s="133">
        <f>SUM(H123:H131)</f>
        <v>15759579</v>
      </c>
      <c r="I132" s="134"/>
      <c r="J132" s="135">
        <f>SUM(J123:J131)</f>
        <v>15787447</v>
      </c>
      <c r="K132" s="136"/>
      <c r="L132" s="135">
        <f>SUM(L123:L131)</f>
        <v>0</v>
      </c>
      <c r="M132" s="136"/>
      <c r="N132" s="133">
        <f>SUM(N123:N131)</f>
        <v>281670</v>
      </c>
      <c r="O132" s="100">
        <f t="shared" si="49"/>
        <v>0</v>
      </c>
      <c r="P132" s="137"/>
      <c r="Q132" s="133">
        <f>SUM(Q123:Q131)</f>
        <v>0</v>
      </c>
      <c r="R132" s="138"/>
      <c r="S132" s="135">
        <f>SUM(S123:S131)</f>
        <v>15505777</v>
      </c>
      <c r="T132" s="137"/>
      <c r="U132" s="139"/>
      <c r="V132" s="135">
        <f>SUM(V123:V131)</f>
        <v>15787447</v>
      </c>
      <c r="W132" s="140"/>
      <c r="X132" s="141">
        <f>SUM(X123:X131)</f>
        <v>0</v>
      </c>
      <c r="Y132" s="125">
        <f t="shared" si="58"/>
        <v>0</v>
      </c>
      <c r="Z132" s="126">
        <f t="shared" si="59"/>
        <v>0</v>
      </c>
      <c r="AA132" s="126">
        <f t="shared" si="60"/>
        <v>0</v>
      </c>
    </row>
    <row r="133" spans="1:27" s="87" customFormat="1" ht="13.5" customHeight="1">
      <c r="A133" s="109"/>
      <c r="B133" s="110"/>
      <c r="C133" s="90"/>
      <c r="D133" s="165" t="s">
        <v>166</v>
      </c>
      <c r="E133" s="143"/>
      <c r="F133" s="144"/>
      <c r="G133" s="145"/>
      <c r="H133" s="133">
        <f>+H132+H121+H106+H98+H80+H63+H58+H49+H45+H40+H31</f>
        <v>238139364.54</v>
      </c>
      <c r="I133" s="117"/>
      <c r="J133" s="135">
        <f>+J132+J121+J106+J98+J80+J63+J58+J49+J45+J40+J31</f>
        <v>179440785.4</v>
      </c>
      <c r="K133" s="136"/>
      <c r="L133" s="135">
        <f>+L132+L121+L106+L98+L80+L63+L58+L49+L45+L40+L31</f>
        <v>0</v>
      </c>
      <c r="M133" s="136"/>
      <c r="N133" s="133">
        <f>+N132+N121+N106+N98+N80+N63+N58+N49+N45+N40+N31</f>
        <v>88869368.5</v>
      </c>
      <c r="O133" s="100">
        <f t="shared" si="49"/>
        <v>0</v>
      </c>
      <c r="P133" s="119"/>
      <c r="Q133" s="133">
        <f>+Q132+Q121+Q106+Q98+Q80+Q63+Q58+Q49+Q45+Q40+Q31</f>
        <v>47150155.51</v>
      </c>
      <c r="R133" s="138"/>
      <c r="S133" s="135">
        <f>+S132+S121+S106+S98+S80+S63+S58+S49+S45+S40+S31</f>
        <v>48866657.9</v>
      </c>
      <c r="T133" s="119"/>
      <c r="U133" s="121"/>
      <c r="V133" s="135">
        <f>+V132+V121+V106+V98+V80+V63+V58+V49+V45+V40+V31</f>
        <v>179440785.4</v>
      </c>
      <c r="W133" s="147"/>
      <c r="X133" s="141">
        <f>+X132+X121+X106+X98+X80+X63+X58+X49+X45+X40+X31</f>
        <v>0</v>
      </c>
      <c r="Y133" s="125">
        <f t="shared" si="58"/>
        <v>0</v>
      </c>
      <c r="Z133" s="126">
        <f t="shared" si="59"/>
        <v>0</v>
      </c>
      <c r="AA133" s="126">
        <f t="shared" si="60"/>
        <v>47150155.51</v>
      </c>
    </row>
    <row r="134" spans="1:27" s="87" customFormat="1" ht="21" customHeight="1">
      <c r="A134" s="109">
        <v>12</v>
      </c>
      <c r="B134" s="110"/>
      <c r="C134" s="90"/>
      <c r="D134" s="166" t="s">
        <v>167</v>
      </c>
      <c r="E134" s="143"/>
      <c r="F134" s="144"/>
      <c r="G134" s="145"/>
      <c r="H134" s="146"/>
      <c r="I134" s="117"/>
      <c r="J134" s="99"/>
      <c r="K134" s="118"/>
      <c r="L134" s="99"/>
      <c r="M134" s="118"/>
      <c r="N134" s="99"/>
      <c r="O134" s="100">
        <f t="shared" si="49"/>
        <v>0</v>
      </c>
      <c r="P134" s="119"/>
      <c r="Q134" s="120"/>
      <c r="R134" s="103"/>
      <c r="S134" s="104"/>
      <c r="T134" s="119"/>
      <c r="U134" s="121"/>
      <c r="V134" s="122"/>
      <c r="W134" s="147"/>
      <c r="X134" s="124"/>
      <c r="Y134" s="125">
        <f t="shared" si="58"/>
        <v>0</v>
      </c>
      <c r="Z134" s="126">
        <f t="shared" si="59"/>
        <v>0</v>
      </c>
      <c r="AA134" s="126">
        <f t="shared" si="60"/>
        <v>0</v>
      </c>
    </row>
    <row r="135" spans="1:27" s="87" customFormat="1" ht="13.5" customHeight="1">
      <c r="A135" s="109"/>
      <c r="B135" s="110"/>
      <c r="C135" s="111" t="s">
        <v>168</v>
      </c>
      <c r="D135" s="148" t="s">
        <v>169</v>
      </c>
      <c r="E135" s="113" t="s">
        <v>2</v>
      </c>
      <c r="F135" s="114">
        <v>230910</v>
      </c>
      <c r="G135" s="115">
        <v>62</v>
      </c>
      <c r="H135" s="116">
        <f>F135*G135</f>
        <v>14316420</v>
      </c>
      <c r="I135" s="117">
        <v>62</v>
      </c>
      <c r="J135" s="99">
        <f>+I135*F135</f>
        <v>14316420</v>
      </c>
      <c r="K135" s="118"/>
      <c r="L135" s="99">
        <f>+K135*F135</f>
        <v>0</v>
      </c>
      <c r="M135" s="167">
        <v>62</v>
      </c>
      <c r="N135" s="99">
        <f>+M135*F135</f>
        <v>14316420</v>
      </c>
      <c r="O135" s="100">
        <f t="shared" si="49"/>
        <v>0</v>
      </c>
      <c r="P135" s="119">
        <f>+I135-K135-M135</f>
        <v>0</v>
      </c>
      <c r="Q135" s="120">
        <f>+P135*F135</f>
        <v>0</v>
      </c>
      <c r="R135" s="103">
        <f>+I135-K135-M135-P135</f>
        <v>0</v>
      </c>
      <c r="S135" s="104">
        <f>+R135*F135</f>
        <v>0</v>
      </c>
      <c r="T135" s="119">
        <f>+K135+M135+O135+R135</f>
        <v>62</v>
      </c>
      <c r="U135" s="121"/>
      <c r="V135" s="122">
        <f>+T135*F135</f>
        <v>14316420</v>
      </c>
      <c r="W135" s="123">
        <f>+I135-T135</f>
        <v>0</v>
      </c>
      <c r="X135" s="124">
        <f>+W135*F135</f>
        <v>0</v>
      </c>
      <c r="Y135" s="125">
        <f t="shared" si="58"/>
        <v>0</v>
      </c>
      <c r="Z135" s="126">
        <f t="shared" si="59"/>
        <v>0</v>
      </c>
      <c r="AA135" s="126">
        <f t="shared" si="60"/>
        <v>0</v>
      </c>
    </row>
    <row r="136" spans="1:27" s="87" customFormat="1" ht="13.5" customHeight="1">
      <c r="A136" s="109"/>
      <c r="B136" s="110"/>
      <c r="C136" s="111" t="s">
        <v>170</v>
      </c>
      <c r="D136" s="148" t="s">
        <v>56</v>
      </c>
      <c r="E136" s="113" t="s">
        <v>2</v>
      </c>
      <c r="F136" s="114">
        <v>672823</v>
      </c>
      <c r="G136" s="115">
        <v>2</v>
      </c>
      <c r="H136" s="116">
        <f>F136*G136</f>
        <v>1345646</v>
      </c>
      <c r="I136" s="117">
        <v>0</v>
      </c>
      <c r="J136" s="99">
        <f>+I136*F136</f>
        <v>0</v>
      </c>
      <c r="K136" s="118"/>
      <c r="L136" s="99">
        <f>+K136*F136</f>
        <v>0</v>
      </c>
      <c r="M136" s="167"/>
      <c r="N136" s="99">
        <f>+M136*F136</f>
        <v>0</v>
      </c>
      <c r="O136" s="100">
        <f t="shared" si="49"/>
        <v>0</v>
      </c>
      <c r="P136" s="119">
        <f>+I136-K136-M136</f>
        <v>0</v>
      </c>
      <c r="Q136" s="120">
        <f>+P136*F136</f>
        <v>0</v>
      </c>
      <c r="R136" s="103">
        <f>+I136-K136-M136-P136</f>
        <v>0</v>
      </c>
      <c r="S136" s="104">
        <f>+R136*F136</f>
        <v>0</v>
      </c>
      <c r="T136" s="119">
        <f>+K136+M136+O136+R136</f>
        <v>0</v>
      </c>
      <c r="U136" s="121"/>
      <c r="V136" s="122">
        <f>+T136*F136</f>
        <v>0</v>
      </c>
      <c r="W136" s="123">
        <f>+I136-T136</f>
        <v>0</v>
      </c>
      <c r="X136" s="124">
        <f>+W136*F136</f>
        <v>0</v>
      </c>
      <c r="Y136" s="125">
        <f t="shared" si="58"/>
        <v>0</v>
      </c>
      <c r="Z136" s="126">
        <f t="shared" si="59"/>
        <v>0</v>
      </c>
      <c r="AA136" s="126">
        <f t="shared" si="60"/>
        <v>0</v>
      </c>
    </row>
    <row r="137" spans="1:27" s="87" customFormat="1" ht="13.5" customHeight="1">
      <c r="A137" s="109"/>
      <c r="B137" s="110"/>
      <c r="C137" s="111" t="s">
        <v>171</v>
      </c>
      <c r="D137" s="148" t="s">
        <v>28</v>
      </c>
      <c r="E137" s="113" t="s">
        <v>2</v>
      </c>
      <c r="F137" s="114">
        <v>281670</v>
      </c>
      <c r="G137" s="115">
        <v>2</v>
      </c>
      <c r="H137" s="116">
        <f>F137*G137</f>
        <v>563340</v>
      </c>
      <c r="I137" s="117">
        <v>2</v>
      </c>
      <c r="J137" s="99">
        <f>+I137*F137</f>
        <v>563340</v>
      </c>
      <c r="K137" s="118"/>
      <c r="L137" s="99">
        <f>+K137*F137</f>
        <v>0</v>
      </c>
      <c r="M137" s="167">
        <v>2</v>
      </c>
      <c r="N137" s="99">
        <f>+M137*F137</f>
        <v>563340</v>
      </c>
      <c r="O137" s="100">
        <f t="shared" si="49"/>
        <v>0</v>
      </c>
      <c r="P137" s="119">
        <f>+I137-K137-M137</f>
        <v>0</v>
      </c>
      <c r="Q137" s="120">
        <f>+P137*F137</f>
        <v>0</v>
      </c>
      <c r="R137" s="103">
        <f>+I137-K137-M137-P137</f>
        <v>0</v>
      </c>
      <c r="S137" s="104">
        <f>+R137*F137</f>
        <v>0</v>
      </c>
      <c r="T137" s="119">
        <f>+K137+M137+O137+R137</f>
        <v>2</v>
      </c>
      <c r="U137" s="121"/>
      <c r="V137" s="122">
        <f>+T137*F137</f>
        <v>563340</v>
      </c>
      <c r="W137" s="123">
        <f>+I137-T137</f>
        <v>0</v>
      </c>
      <c r="X137" s="124">
        <f>+W137*F137</f>
        <v>0</v>
      </c>
      <c r="Y137" s="125">
        <f t="shared" si="58"/>
        <v>0</v>
      </c>
      <c r="Z137" s="126">
        <f t="shared" si="59"/>
        <v>0</v>
      </c>
      <c r="AA137" s="126">
        <f t="shared" si="60"/>
        <v>0</v>
      </c>
    </row>
    <row r="138" spans="1:27" s="87" customFormat="1" ht="13.5" customHeight="1">
      <c r="A138" s="109"/>
      <c r="B138" s="110"/>
      <c r="C138" s="111" t="s">
        <v>172</v>
      </c>
      <c r="D138" s="148" t="s">
        <v>173</v>
      </c>
      <c r="E138" s="113" t="s">
        <v>2</v>
      </c>
      <c r="F138" s="114">
        <v>162234</v>
      </c>
      <c r="G138" s="115">
        <v>62</v>
      </c>
      <c r="H138" s="116">
        <f>F138*G138</f>
        <v>10058508</v>
      </c>
      <c r="I138" s="117">
        <v>62</v>
      </c>
      <c r="J138" s="99">
        <f>+I138*F138</f>
        <v>10058508</v>
      </c>
      <c r="K138" s="118">
        <v>53</v>
      </c>
      <c r="L138" s="99">
        <f>+K138*F138</f>
        <v>8598402</v>
      </c>
      <c r="M138" s="167">
        <v>8</v>
      </c>
      <c r="N138" s="99">
        <f>+M138*F138</f>
        <v>1297872</v>
      </c>
      <c r="O138" s="100">
        <f t="shared" si="49"/>
        <v>1</v>
      </c>
      <c r="P138" s="119">
        <f>+I138-K138-M138</f>
        <v>1</v>
      </c>
      <c r="Q138" s="120">
        <f>+P138*F138</f>
        <v>162234</v>
      </c>
      <c r="R138" s="103">
        <f>+I138-K138-M138-P138</f>
        <v>0</v>
      </c>
      <c r="S138" s="104">
        <f>+R138*F138</f>
        <v>0</v>
      </c>
      <c r="T138" s="119">
        <f>+K138+M138+O138+R138</f>
        <v>62</v>
      </c>
      <c r="U138" s="121"/>
      <c r="V138" s="122">
        <f>+T138*F138</f>
        <v>10058508</v>
      </c>
      <c r="W138" s="123">
        <f>+I138-T138</f>
        <v>0</v>
      </c>
      <c r="X138" s="124">
        <f>+W138*F138</f>
        <v>0</v>
      </c>
      <c r="Y138" s="125">
        <f t="shared" si="58"/>
        <v>0</v>
      </c>
      <c r="Z138" s="126">
        <f t="shared" si="59"/>
        <v>0</v>
      </c>
      <c r="AA138" s="126">
        <f t="shared" si="60"/>
        <v>162234</v>
      </c>
    </row>
    <row r="139" spans="1:27" s="87" customFormat="1" ht="13.5" customHeight="1">
      <c r="A139" s="109"/>
      <c r="B139" s="110"/>
      <c r="C139" s="90"/>
      <c r="D139" s="129" t="s">
        <v>31</v>
      </c>
      <c r="E139" s="130"/>
      <c r="F139" s="131"/>
      <c r="G139" s="132"/>
      <c r="H139" s="133">
        <f>SUM(H135:H138)</f>
        <v>26283914</v>
      </c>
      <c r="I139" s="168"/>
      <c r="J139" s="135">
        <f>SUM(J135:J138)</f>
        <v>24938268</v>
      </c>
      <c r="K139" s="136"/>
      <c r="L139" s="135">
        <f>SUM(L135:L138)</f>
        <v>8598402</v>
      </c>
      <c r="M139" s="136"/>
      <c r="N139" s="135">
        <f>SUM(N135:N138)</f>
        <v>16177632</v>
      </c>
      <c r="O139" s="100">
        <f t="shared" si="49"/>
        <v>0</v>
      </c>
      <c r="P139" s="137"/>
      <c r="Q139" s="133">
        <f>SUM(Q135:Q138)</f>
        <v>162234</v>
      </c>
      <c r="R139" s="138"/>
      <c r="S139" s="135">
        <f>SUM(S135:S138)</f>
        <v>0</v>
      </c>
      <c r="T139" s="137"/>
      <c r="U139" s="139"/>
      <c r="V139" s="135">
        <f>SUM(V135:V138)</f>
        <v>24938268</v>
      </c>
      <c r="W139" s="140"/>
      <c r="X139" s="141">
        <f>SUM(X135:X138)</f>
        <v>0</v>
      </c>
      <c r="Y139" s="125">
        <f t="shared" si="58"/>
        <v>0</v>
      </c>
      <c r="Z139" s="126">
        <f t="shared" si="59"/>
        <v>0</v>
      </c>
      <c r="AA139" s="126">
        <f t="shared" si="60"/>
        <v>162234</v>
      </c>
    </row>
    <row r="140" spans="1:27" s="87" customFormat="1" ht="13.5" customHeight="1">
      <c r="A140" s="109">
        <v>13</v>
      </c>
      <c r="B140" s="110"/>
      <c r="C140" s="90"/>
      <c r="D140" s="142" t="s">
        <v>174</v>
      </c>
      <c r="E140" s="143"/>
      <c r="F140" s="144"/>
      <c r="G140" s="145"/>
      <c r="H140" s="146"/>
      <c r="I140" s="169"/>
      <c r="J140" s="99"/>
      <c r="K140" s="118"/>
      <c r="L140" s="99"/>
      <c r="M140" s="118"/>
      <c r="N140" s="99"/>
      <c r="O140" s="100">
        <f t="shared" si="49"/>
        <v>0</v>
      </c>
      <c r="P140" s="119"/>
      <c r="Q140" s="120"/>
      <c r="R140" s="103"/>
      <c r="S140" s="104"/>
      <c r="T140" s="119"/>
      <c r="U140" s="121"/>
      <c r="V140" s="122"/>
      <c r="W140" s="147"/>
      <c r="X140" s="124"/>
      <c r="Y140" s="125">
        <f t="shared" si="58"/>
        <v>0</v>
      </c>
      <c r="Z140" s="126">
        <f t="shared" si="59"/>
        <v>0</v>
      </c>
      <c r="AA140" s="126">
        <f t="shared" si="60"/>
        <v>0</v>
      </c>
    </row>
    <row r="141" spans="1:27" s="87" customFormat="1" ht="13.5" customHeight="1">
      <c r="A141" s="109"/>
      <c r="B141" s="110">
        <v>13.1</v>
      </c>
      <c r="C141" s="90"/>
      <c r="D141" s="142" t="s">
        <v>175</v>
      </c>
      <c r="E141" s="143"/>
      <c r="F141" s="144"/>
      <c r="G141" s="145"/>
      <c r="H141" s="146"/>
      <c r="I141" s="103"/>
      <c r="J141" s="99"/>
      <c r="K141" s="118"/>
      <c r="L141" s="99"/>
      <c r="M141" s="118"/>
      <c r="N141" s="99"/>
      <c r="O141" s="100">
        <f t="shared" si="49"/>
        <v>0</v>
      </c>
      <c r="P141" s="119"/>
      <c r="Q141" s="120"/>
      <c r="R141" s="103"/>
      <c r="S141" s="104"/>
      <c r="T141" s="119"/>
      <c r="U141" s="121"/>
      <c r="V141" s="122"/>
      <c r="W141" s="147"/>
      <c r="X141" s="124"/>
      <c r="Y141" s="125">
        <f t="shared" si="58"/>
        <v>0</v>
      </c>
      <c r="Z141" s="126">
        <f t="shared" si="59"/>
        <v>0</v>
      </c>
      <c r="AA141" s="126">
        <f t="shared" si="60"/>
        <v>0</v>
      </c>
    </row>
    <row r="142" spans="1:27" s="181" customFormat="1" ht="13.5" customHeight="1">
      <c r="A142" s="170"/>
      <c r="B142" s="171"/>
      <c r="C142" s="172" t="s">
        <v>176</v>
      </c>
      <c r="D142" s="173" t="s">
        <v>169</v>
      </c>
      <c r="E142" s="174" t="s">
        <v>2</v>
      </c>
      <c r="F142" s="114">
        <v>230910</v>
      </c>
      <c r="G142" s="115">
        <v>360</v>
      </c>
      <c r="H142" s="116">
        <f>F142*G142</f>
        <v>83127600</v>
      </c>
      <c r="I142" s="175">
        <v>360</v>
      </c>
      <c r="J142" s="176">
        <f>+I142*F142</f>
        <v>83127600</v>
      </c>
      <c r="K142" s="167">
        <v>306</v>
      </c>
      <c r="L142" s="99">
        <f>+K142*F142</f>
        <v>70658460</v>
      </c>
      <c r="M142" s="167">
        <v>54</v>
      </c>
      <c r="N142" s="99">
        <f>+M142*F142</f>
        <v>12469140</v>
      </c>
      <c r="O142" s="100">
        <f t="shared" si="49"/>
        <v>0</v>
      </c>
      <c r="P142" s="119">
        <f>+I142-K142-M142</f>
        <v>0</v>
      </c>
      <c r="Q142" s="177">
        <f>+P142*F142</f>
        <v>0</v>
      </c>
      <c r="R142" s="103">
        <f>+I142-K142-M142-P142</f>
        <v>0</v>
      </c>
      <c r="S142" s="104">
        <f>+R142*F142</f>
        <v>0</v>
      </c>
      <c r="T142" s="119">
        <f>+K142+M142+O142+R142</f>
        <v>360</v>
      </c>
      <c r="U142" s="178"/>
      <c r="V142" s="179">
        <f>+T142*F142</f>
        <v>83127600</v>
      </c>
      <c r="W142" s="123">
        <f>+I142-T142</f>
        <v>0</v>
      </c>
      <c r="X142" s="180">
        <f>+W142*F142</f>
        <v>0</v>
      </c>
      <c r="Y142" s="125">
        <f t="shared" si="58"/>
        <v>0</v>
      </c>
      <c r="Z142" s="126">
        <f t="shared" si="59"/>
        <v>0</v>
      </c>
      <c r="AA142" s="126">
        <f t="shared" si="60"/>
        <v>0</v>
      </c>
    </row>
    <row r="143" spans="1:27" s="87" customFormat="1" ht="13.5" customHeight="1">
      <c r="A143" s="109"/>
      <c r="B143" s="110"/>
      <c r="C143" s="111" t="s">
        <v>177</v>
      </c>
      <c r="D143" s="148" t="s">
        <v>56</v>
      </c>
      <c r="E143" s="113" t="s">
        <v>2</v>
      </c>
      <c r="F143" s="114">
        <v>672823</v>
      </c>
      <c r="G143" s="115">
        <v>12</v>
      </c>
      <c r="H143" s="116">
        <f>F143*G143</f>
        <v>8073876</v>
      </c>
      <c r="I143" s="117">
        <v>0</v>
      </c>
      <c r="J143" s="176">
        <f>+I143*F143</f>
        <v>0</v>
      </c>
      <c r="K143" s="167"/>
      <c r="L143" s="99">
        <f>+K143*F143</f>
        <v>0</v>
      </c>
      <c r="M143" s="167"/>
      <c r="N143" s="99">
        <f>+M143*F143</f>
        <v>0</v>
      </c>
      <c r="O143" s="100">
        <f t="shared" si="49"/>
        <v>0</v>
      </c>
      <c r="P143" s="119">
        <f>+I143-K143-M143</f>
        <v>0</v>
      </c>
      <c r="Q143" s="177">
        <f>+P143*F143</f>
        <v>0</v>
      </c>
      <c r="R143" s="103">
        <f>+I143-K143-M143-P143</f>
        <v>0</v>
      </c>
      <c r="S143" s="104">
        <f>+R143*F143</f>
        <v>0</v>
      </c>
      <c r="T143" s="119">
        <f>+K143+M143+O143+R143</f>
        <v>0</v>
      </c>
      <c r="U143" s="121"/>
      <c r="V143" s="122">
        <f>+T143*F143</f>
        <v>0</v>
      </c>
      <c r="W143" s="123">
        <f>+I143-T143</f>
        <v>0</v>
      </c>
      <c r="X143" s="124">
        <f>+W143*F143</f>
        <v>0</v>
      </c>
      <c r="Y143" s="125">
        <f t="shared" si="58"/>
        <v>0</v>
      </c>
      <c r="Z143" s="126">
        <f t="shared" si="59"/>
        <v>0</v>
      </c>
      <c r="AA143" s="126">
        <f t="shared" si="60"/>
        <v>0</v>
      </c>
    </row>
    <row r="144" spans="1:27" s="87" customFormat="1" ht="13.5" customHeight="1">
      <c r="A144" s="109"/>
      <c r="B144" s="110"/>
      <c r="C144" s="111" t="s">
        <v>178</v>
      </c>
      <c r="D144" s="148" t="s">
        <v>28</v>
      </c>
      <c r="E144" s="113" t="s">
        <v>2</v>
      </c>
      <c r="F144" s="114">
        <v>281670</v>
      </c>
      <c r="G144" s="115">
        <v>12</v>
      </c>
      <c r="H144" s="116">
        <f>F144*G144</f>
        <v>3380040</v>
      </c>
      <c r="I144" s="117">
        <v>12</v>
      </c>
      <c r="J144" s="176">
        <f>+I144*F144</f>
        <v>3380040</v>
      </c>
      <c r="K144" s="167"/>
      <c r="L144" s="99">
        <f>+K144*F144</f>
        <v>0</v>
      </c>
      <c r="M144" s="167">
        <v>12</v>
      </c>
      <c r="N144" s="99">
        <f>+M144*F144</f>
        <v>3380040</v>
      </c>
      <c r="O144" s="100">
        <f t="shared" si="49"/>
        <v>0</v>
      </c>
      <c r="P144" s="119">
        <f>+I144-K144-M144</f>
        <v>0</v>
      </c>
      <c r="Q144" s="177">
        <f>+P144*F144</f>
        <v>0</v>
      </c>
      <c r="R144" s="103">
        <f>+I144-K144-M144-P144</f>
        <v>0</v>
      </c>
      <c r="S144" s="104">
        <f>+R144*F144</f>
        <v>0</v>
      </c>
      <c r="T144" s="119">
        <f>+K144+M144+O144+R144</f>
        <v>12</v>
      </c>
      <c r="U144" s="121"/>
      <c r="V144" s="122">
        <f>+T144*F144</f>
        <v>3380040</v>
      </c>
      <c r="W144" s="123">
        <f>+I144-T144</f>
        <v>0</v>
      </c>
      <c r="X144" s="124">
        <f>+W144*F144</f>
        <v>0</v>
      </c>
      <c r="Y144" s="125">
        <f t="shared" si="58"/>
        <v>0</v>
      </c>
      <c r="Z144" s="126">
        <f t="shared" si="59"/>
        <v>0</v>
      </c>
      <c r="AA144" s="126">
        <f t="shared" si="60"/>
        <v>0</v>
      </c>
    </row>
    <row r="145" spans="1:27" s="87" customFormat="1" ht="13.5" customHeight="1">
      <c r="A145" s="109"/>
      <c r="B145" s="110"/>
      <c r="C145" s="111" t="s">
        <v>179</v>
      </c>
      <c r="D145" s="148" t="s">
        <v>173</v>
      </c>
      <c r="E145" s="113" t="s">
        <v>2</v>
      </c>
      <c r="F145" s="114">
        <v>162234</v>
      </c>
      <c r="G145" s="115">
        <v>360</v>
      </c>
      <c r="H145" s="116">
        <f>F145*G145</f>
        <v>58404240</v>
      </c>
      <c r="I145" s="117">
        <v>360</v>
      </c>
      <c r="J145" s="176">
        <f>+I145*F145</f>
        <v>58404240</v>
      </c>
      <c r="K145" s="167">
        <v>306</v>
      </c>
      <c r="L145" s="99">
        <f>+K145*F145</f>
        <v>49643604</v>
      </c>
      <c r="M145" s="167">
        <v>54</v>
      </c>
      <c r="N145" s="99">
        <f>+M145*F145</f>
        <v>8760636</v>
      </c>
      <c r="O145" s="100">
        <f t="shared" si="49"/>
        <v>0</v>
      </c>
      <c r="P145" s="119">
        <f>+I145-K145-M145</f>
        <v>0</v>
      </c>
      <c r="Q145" s="177">
        <f>+P145*F145</f>
        <v>0</v>
      </c>
      <c r="R145" s="103">
        <f>+I145-K145-M145-P145</f>
        <v>0</v>
      </c>
      <c r="S145" s="104">
        <f>+R145*F145</f>
        <v>0</v>
      </c>
      <c r="T145" s="119">
        <f>+K145+M145+O145+R145</f>
        <v>360</v>
      </c>
      <c r="U145" s="121"/>
      <c r="V145" s="122">
        <f>+T145*F145</f>
        <v>58404240</v>
      </c>
      <c r="W145" s="123">
        <f>+I145-T145</f>
        <v>0</v>
      </c>
      <c r="X145" s="124">
        <f>+W145*F145</f>
        <v>0</v>
      </c>
      <c r="Y145" s="125">
        <f t="shared" si="58"/>
        <v>0</v>
      </c>
      <c r="Z145" s="126">
        <f t="shared" si="59"/>
        <v>0</v>
      </c>
      <c r="AA145" s="126">
        <f t="shared" si="60"/>
        <v>0</v>
      </c>
    </row>
    <row r="146" spans="1:27" s="87" customFormat="1" ht="13.5" customHeight="1">
      <c r="A146" s="109"/>
      <c r="B146" s="110"/>
      <c r="C146" s="90"/>
      <c r="D146" s="129" t="s">
        <v>31</v>
      </c>
      <c r="E146" s="130"/>
      <c r="F146" s="131"/>
      <c r="G146" s="132"/>
      <c r="H146" s="133">
        <f>SUM(H142:H145)</f>
        <v>152985756</v>
      </c>
      <c r="I146" s="168"/>
      <c r="J146" s="135">
        <f>SUM(J142:J145)</f>
        <v>144911880</v>
      </c>
      <c r="K146" s="136"/>
      <c r="L146" s="135">
        <f>SUM(L142:L145)</f>
        <v>120302064</v>
      </c>
      <c r="M146" s="136"/>
      <c r="N146" s="135">
        <f>SUM(N142:N145)</f>
        <v>24609816</v>
      </c>
      <c r="O146" s="100">
        <f t="shared" si="49"/>
        <v>0</v>
      </c>
      <c r="P146" s="137"/>
      <c r="Q146" s="133">
        <f>SUM(Q142:Q145)</f>
        <v>0</v>
      </c>
      <c r="R146" s="138"/>
      <c r="S146" s="135">
        <f>SUM(S142:S145)</f>
        <v>0</v>
      </c>
      <c r="T146" s="137"/>
      <c r="U146" s="139"/>
      <c r="V146" s="135">
        <f>SUM(V142:V145)</f>
        <v>144911880</v>
      </c>
      <c r="W146" s="140"/>
      <c r="X146" s="141">
        <f>SUM(X142:X145)</f>
        <v>0</v>
      </c>
      <c r="Y146" s="125">
        <f t="shared" si="58"/>
        <v>0</v>
      </c>
      <c r="Z146" s="126">
        <f t="shared" si="59"/>
        <v>0</v>
      </c>
      <c r="AA146" s="126">
        <f t="shared" si="60"/>
        <v>0</v>
      </c>
    </row>
    <row r="147" spans="1:27" s="87" customFormat="1" ht="13.5" customHeight="1">
      <c r="A147" s="109"/>
      <c r="B147" s="110">
        <v>13.2</v>
      </c>
      <c r="C147" s="90"/>
      <c r="D147" s="142" t="s">
        <v>180</v>
      </c>
      <c r="E147" s="143"/>
      <c r="F147" s="144"/>
      <c r="G147" s="145"/>
      <c r="H147" s="146"/>
      <c r="I147" s="182"/>
      <c r="J147" s="99"/>
      <c r="K147" s="118"/>
      <c r="L147" s="99"/>
      <c r="M147" s="118"/>
      <c r="N147" s="99"/>
      <c r="O147" s="100">
        <f aca="true" t="shared" si="95" ref="O147:O210">+I147-K147-M147</f>
        <v>0</v>
      </c>
      <c r="P147" s="119"/>
      <c r="Q147" s="120"/>
      <c r="R147" s="103"/>
      <c r="S147" s="104"/>
      <c r="T147" s="119"/>
      <c r="U147" s="121"/>
      <c r="V147" s="122"/>
      <c r="W147" s="147"/>
      <c r="X147" s="124"/>
      <c r="Y147" s="125">
        <f aca="true" t="shared" si="96" ref="Y147:Y210">+J147-V147</f>
        <v>0</v>
      </c>
      <c r="Z147" s="126">
        <f aca="true" t="shared" si="97" ref="Z147:Z165">+X147-Y147</f>
        <v>0</v>
      </c>
      <c r="AA147" s="126">
        <f aca="true" t="shared" si="98" ref="AA147:AA210">+Q147</f>
        <v>0</v>
      </c>
    </row>
    <row r="148" spans="1:27" s="87" customFormat="1" ht="13.5" customHeight="1">
      <c r="A148" s="109"/>
      <c r="B148" s="110"/>
      <c r="C148" s="111" t="s">
        <v>181</v>
      </c>
      <c r="D148" s="148" t="s">
        <v>169</v>
      </c>
      <c r="E148" s="113" t="s">
        <v>2</v>
      </c>
      <c r="F148" s="114">
        <v>230910</v>
      </c>
      <c r="G148" s="115">
        <v>424</v>
      </c>
      <c r="H148" s="116">
        <f>F148*G148</f>
        <v>97905840</v>
      </c>
      <c r="I148" s="103">
        <v>424</v>
      </c>
      <c r="J148" s="99">
        <f>+I148*F148</f>
        <v>97905840</v>
      </c>
      <c r="K148" s="118">
        <v>344</v>
      </c>
      <c r="L148" s="99">
        <f>+K148*F148</f>
        <v>79433040</v>
      </c>
      <c r="M148" s="118">
        <v>80</v>
      </c>
      <c r="N148" s="99">
        <f>+M148*F148</f>
        <v>18472800</v>
      </c>
      <c r="O148" s="100">
        <f t="shared" si="95"/>
        <v>0</v>
      </c>
      <c r="P148" s="119">
        <f>+I148-K148-M148</f>
        <v>0</v>
      </c>
      <c r="Q148" s="120">
        <f>+P148*F148</f>
        <v>0</v>
      </c>
      <c r="R148" s="103">
        <f>+I148-K148-M148-P148</f>
        <v>0</v>
      </c>
      <c r="S148" s="104">
        <f>+R148*F148</f>
        <v>0</v>
      </c>
      <c r="T148" s="119">
        <f>+K148+M148+O148+R148</f>
        <v>424</v>
      </c>
      <c r="U148" s="121"/>
      <c r="V148" s="122">
        <f>+T148*F148</f>
        <v>97905840</v>
      </c>
      <c r="W148" s="123">
        <f>+I148-T148</f>
        <v>0</v>
      </c>
      <c r="X148" s="124">
        <f>+W148*F148</f>
        <v>0</v>
      </c>
      <c r="Y148" s="125">
        <f t="shared" si="96"/>
        <v>0</v>
      </c>
      <c r="Z148" s="126">
        <f t="shared" si="97"/>
        <v>0</v>
      </c>
      <c r="AA148" s="126">
        <f t="shared" si="98"/>
        <v>0</v>
      </c>
    </row>
    <row r="149" spans="1:27" s="87" customFormat="1" ht="13.5" customHeight="1">
      <c r="A149" s="109"/>
      <c r="B149" s="110"/>
      <c r="C149" s="111" t="s">
        <v>182</v>
      </c>
      <c r="D149" s="148" t="s">
        <v>56</v>
      </c>
      <c r="E149" s="113" t="s">
        <v>2</v>
      </c>
      <c r="F149" s="114">
        <v>672823</v>
      </c>
      <c r="G149" s="115">
        <v>14</v>
      </c>
      <c r="H149" s="116">
        <f>F149*G149</f>
        <v>9419522</v>
      </c>
      <c r="I149" s="103">
        <v>0</v>
      </c>
      <c r="J149" s="99">
        <f>+I149*F149</f>
        <v>0</v>
      </c>
      <c r="K149" s="118"/>
      <c r="L149" s="99">
        <f>+K149*F149</f>
        <v>0</v>
      </c>
      <c r="M149" s="118"/>
      <c r="N149" s="99">
        <f>+M149*F149</f>
        <v>0</v>
      </c>
      <c r="O149" s="100">
        <f t="shared" si="95"/>
        <v>0</v>
      </c>
      <c r="P149" s="119">
        <f>+I149-K149-M149</f>
        <v>0</v>
      </c>
      <c r="Q149" s="120">
        <f>+P149*F149</f>
        <v>0</v>
      </c>
      <c r="R149" s="103">
        <f>+I149-K149-M149-P149</f>
        <v>0</v>
      </c>
      <c r="S149" s="104">
        <f>+R149*F149</f>
        <v>0</v>
      </c>
      <c r="T149" s="119">
        <f>+K149+M149+O149+R149</f>
        <v>0</v>
      </c>
      <c r="U149" s="121"/>
      <c r="V149" s="122">
        <f>+T149*F149</f>
        <v>0</v>
      </c>
      <c r="W149" s="123">
        <f>+I149-T149</f>
        <v>0</v>
      </c>
      <c r="X149" s="124">
        <f>+W149*F149</f>
        <v>0</v>
      </c>
      <c r="Y149" s="125">
        <f t="shared" si="96"/>
        <v>0</v>
      </c>
      <c r="Z149" s="126">
        <f t="shared" si="97"/>
        <v>0</v>
      </c>
      <c r="AA149" s="126">
        <f t="shared" si="98"/>
        <v>0</v>
      </c>
    </row>
    <row r="150" spans="1:27" s="87" customFormat="1" ht="13.5" customHeight="1">
      <c r="A150" s="109"/>
      <c r="B150" s="110"/>
      <c r="C150" s="111" t="s">
        <v>183</v>
      </c>
      <c r="D150" s="148" t="s">
        <v>28</v>
      </c>
      <c r="E150" s="113" t="s">
        <v>2</v>
      </c>
      <c r="F150" s="114">
        <v>281670</v>
      </c>
      <c r="G150" s="115">
        <v>14</v>
      </c>
      <c r="H150" s="116">
        <f>F150*G150</f>
        <v>3943380</v>
      </c>
      <c r="I150" s="103">
        <v>14</v>
      </c>
      <c r="J150" s="99">
        <f>+I150*F150</f>
        <v>3943380</v>
      </c>
      <c r="K150" s="118"/>
      <c r="L150" s="99">
        <f>+K150*F150</f>
        <v>0</v>
      </c>
      <c r="M150" s="118">
        <v>14</v>
      </c>
      <c r="N150" s="99">
        <f>+M150*F150</f>
        <v>3943380</v>
      </c>
      <c r="O150" s="100">
        <f t="shared" si="95"/>
        <v>0</v>
      </c>
      <c r="P150" s="119">
        <f>+I150-K150-M150</f>
        <v>0</v>
      </c>
      <c r="Q150" s="120">
        <f>+P150*F150</f>
        <v>0</v>
      </c>
      <c r="R150" s="103">
        <f>+I150-K150-M150-P150</f>
        <v>0</v>
      </c>
      <c r="S150" s="104">
        <f>+R150*F150</f>
        <v>0</v>
      </c>
      <c r="T150" s="119">
        <f>+K150+M150+O150+R150</f>
        <v>14</v>
      </c>
      <c r="U150" s="121"/>
      <c r="V150" s="122">
        <f>+T150*F150</f>
        <v>3943380</v>
      </c>
      <c r="W150" s="123">
        <f>+I150-T150</f>
        <v>0</v>
      </c>
      <c r="X150" s="124">
        <f>+W150*F150</f>
        <v>0</v>
      </c>
      <c r="Y150" s="125">
        <f t="shared" si="96"/>
        <v>0</v>
      </c>
      <c r="Z150" s="126">
        <f t="shared" si="97"/>
        <v>0</v>
      </c>
      <c r="AA150" s="126">
        <f t="shared" si="98"/>
        <v>0</v>
      </c>
    </row>
    <row r="151" spans="1:27" s="87" customFormat="1" ht="13.5" customHeight="1">
      <c r="A151" s="109"/>
      <c r="B151" s="110"/>
      <c r="C151" s="111" t="s">
        <v>184</v>
      </c>
      <c r="D151" s="148" t="s">
        <v>173</v>
      </c>
      <c r="E151" s="113" t="s">
        <v>2</v>
      </c>
      <c r="F151" s="114">
        <v>162234</v>
      </c>
      <c r="G151" s="115">
        <v>424</v>
      </c>
      <c r="H151" s="116">
        <f>F151*G151</f>
        <v>68787216</v>
      </c>
      <c r="I151" s="103">
        <v>424</v>
      </c>
      <c r="J151" s="99">
        <f>+I151*F151</f>
        <v>68787216</v>
      </c>
      <c r="K151" s="118">
        <v>361</v>
      </c>
      <c r="L151" s="99">
        <f>+K151*F151</f>
        <v>58566474</v>
      </c>
      <c r="M151" s="118">
        <v>80</v>
      </c>
      <c r="N151" s="99">
        <f>+M151*F151</f>
        <v>12978720</v>
      </c>
      <c r="O151" s="100">
        <f t="shared" si="95"/>
        <v>-17</v>
      </c>
      <c r="P151" s="119">
        <f>+I151-K151-M151</f>
        <v>-17</v>
      </c>
      <c r="Q151" s="120">
        <f>+P151*F151</f>
        <v>-2757978</v>
      </c>
      <c r="R151" s="103">
        <f>+I151-K151-M151-P151</f>
        <v>0</v>
      </c>
      <c r="S151" s="104">
        <f>+R151*F151</f>
        <v>0</v>
      </c>
      <c r="T151" s="119">
        <f>+K151+M151+O151+R151</f>
        <v>424</v>
      </c>
      <c r="U151" s="121"/>
      <c r="V151" s="122">
        <f>+T151*F151</f>
        <v>68787216</v>
      </c>
      <c r="W151" s="123">
        <f>+I151-T151</f>
        <v>0</v>
      </c>
      <c r="X151" s="124">
        <f>+W151*F151</f>
        <v>0</v>
      </c>
      <c r="Y151" s="125">
        <f t="shared" si="96"/>
        <v>0</v>
      </c>
      <c r="Z151" s="126">
        <f t="shared" si="97"/>
        <v>0</v>
      </c>
      <c r="AA151" s="126">
        <f t="shared" si="98"/>
        <v>-2757978</v>
      </c>
    </row>
    <row r="152" spans="1:27" s="87" customFormat="1" ht="13.5" customHeight="1">
      <c r="A152" s="109"/>
      <c r="B152" s="110"/>
      <c r="C152" s="90"/>
      <c r="D152" s="129" t="s">
        <v>31</v>
      </c>
      <c r="E152" s="130"/>
      <c r="F152" s="131"/>
      <c r="G152" s="132"/>
      <c r="H152" s="133">
        <f>SUM(H148:H151)</f>
        <v>180055958</v>
      </c>
      <c r="I152" s="168"/>
      <c r="J152" s="135">
        <f>SUM(J148:J151)</f>
        <v>170636436</v>
      </c>
      <c r="K152" s="136"/>
      <c r="L152" s="135">
        <f>SUM(L148:L151)</f>
        <v>137999514</v>
      </c>
      <c r="M152" s="136"/>
      <c r="N152" s="135">
        <f>SUM(N148:N151)</f>
        <v>35394900</v>
      </c>
      <c r="O152" s="100">
        <f t="shared" si="95"/>
        <v>0</v>
      </c>
      <c r="P152" s="137"/>
      <c r="Q152" s="133">
        <f>SUM(Q148:Q151)</f>
        <v>-2757978</v>
      </c>
      <c r="R152" s="138"/>
      <c r="S152" s="135">
        <f>SUM(S148:S151)</f>
        <v>0</v>
      </c>
      <c r="T152" s="137"/>
      <c r="U152" s="139"/>
      <c r="V152" s="135">
        <f>SUM(V148:V151)</f>
        <v>170636436</v>
      </c>
      <c r="W152" s="140"/>
      <c r="X152" s="141">
        <f>SUM(X148:X151)</f>
        <v>0</v>
      </c>
      <c r="Y152" s="125">
        <f t="shared" si="96"/>
        <v>0</v>
      </c>
      <c r="Z152" s="126">
        <f t="shared" si="97"/>
        <v>0</v>
      </c>
      <c r="AA152" s="126">
        <f t="shared" si="98"/>
        <v>-2757978</v>
      </c>
    </row>
    <row r="153" spans="1:27" s="87" customFormat="1" ht="13.5" customHeight="1">
      <c r="A153" s="109">
        <v>14</v>
      </c>
      <c r="B153" s="110"/>
      <c r="C153" s="90"/>
      <c r="D153" s="142" t="s">
        <v>185</v>
      </c>
      <c r="E153" s="143"/>
      <c r="F153" s="144"/>
      <c r="G153" s="145"/>
      <c r="H153" s="146"/>
      <c r="I153" s="169"/>
      <c r="J153" s="99"/>
      <c r="K153" s="118"/>
      <c r="L153" s="99"/>
      <c r="M153" s="118"/>
      <c r="N153" s="99"/>
      <c r="O153" s="100">
        <f t="shared" si="95"/>
        <v>0</v>
      </c>
      <c r="P153" s="119"/>
      <c r="Q153" s="120"/>
      <c r="R153" s="103"/>
      <c r="S153" s="104"/>
      <c r="T153" s="119"/>
      <c r="U153" s="121"/>
      <c r="V153" s="122"/>
      <c r="W153" s="147"/>
      <c r="X153" s="124"/>
      <c r="Y153" s="125">
        <f t="shared" si="96"/>
        <v>0</v>
      </c>
      <c r="Z153" s="126">
        <f t="shared" si="97"/>
        <v>0</v>
      </c>
      <c r="AA153" s="126">
        <f t="shared" si="98"/>
        <v>0</v>
      </c>
    </row>
    <row r="154" spans="1:27" s="87" customFormat="1" ht="13.5" customHeight="1">
      <c r="A154" s="109"/>
      <c r="B154" s="110">
        <v>14.1</v>
      </c>
      <c r="C154" s="90"/>
      <c r="D154" s="142" t="s">
        <v>186</v>
      </c>
      <c r="E154" s="143"/>
      <c r="F154" s="144"/>
      <c r="G154" s="145"/>
      <c r="H154" s="146"/>
      <c r="I154" s="103"/>
      <c r="J154" s="99"/>
      <c r="K154" s="118"/>
      <c r="L154" s="99"/>
      <c r="M154" s="118"/>
      <c r="N154" s="99"/>
      <c r="O154" s="100">
        <f t="shared" si="95"/>
        <v>0</v>
      </c>
      <c r="P154" s="119"/>
      <c r="Q154" s="120"/>
      <c r="R154" s="103"/>
      <c r="S154" s="104"/>
      <c r="T154" s="119"/>
      <c r="U154" s="121"/>
      <c r="V154" s="122"/>
      <c r="W154" s="147"/>
      <c r="X154" s="124"/>
      <c r="Y154" s="125">
        <f t="shared" si="96"/>
        <v>0</v>
      </c>
      <c r="Z154" s="126">
        <f t="shared" si="97"/>
        <v>0</v>
      </c>
      <c r="AA154" s="126">
        <f t="shared" si="98"/>
        <v>0</v>
      </c>
    </row>
    <row r="155" spans="1:27" s="87" customFormat="1" ht="13.5" customHeight="1">
      <c r="A155" s="109"/>
      <c r="B155" s="110"/>
      <c r="C155" s="111" t="s">
        <v>187</v>
      </c>
      <c r="D155" s="148" t="s">
        <v>188</v>
      </c>
      <c r="E155" s="113" t="s">
        <v>20</v>
      </c>
      <c r="F155" s="114">
        <v>386176</v>
      </c>
      <c r="G155" s="115">
        <v>27.9</v>
      </c>
      <c r="H155" s="116">
        <f>F155*G155</f>
        <v>10774310.4</v>
      </c>
      <c r="I155" s="103">
        <v>0</v>
      </c>
      <c r="J155" s="99">
        <f>+I155*F155</f>
        <v>0</v>
      </c>
      <c r="K155" s="118"/>
      <c r="L155" s="99">
        <f>+K155*F155</f>
        <v>0</v>
      </c>
      <c r="M155" s="118"/>
      <c r="N155" s="99">
        <f>+M155*F155</f>
        <v>0</v>
      </c>
      <c r="O155" s="100">
        <f t="shared" si="95"/>
        <v>0</v>
      </c>
      <c r="P155" s="119">
        <f>+I155-K155-M155</f>
        <v>0</v>
      </c>
      <c r="Q155" s="120">
        <f>+P155*F155</f>
        <v>0</v>
      </c>
      <c r="R155" s="103">
        <f>+I155-K155-M155-P155</f>
        <v>0</v>
      </c>
      <c r="S155" s="104">
        <f>+R155*F155</f>
        <v>0</v>
      </c>
      <c r="T155" s="119">
        <f>+K155+M155+O155+R155</f>
        <v>0</v>
      </c>
      <c r="U155" s="121"/>
      <c r="V155" s="122">
        <f>+T155*F155</f>
        <v>0</v>
      </c>
      <c r="W155" s="123">
        <f>+I155-T155</f>
        <v>0</v>
      </c>
      <c r="X155" s="124">
        <f>+W155*F155</f>
        <v>0</v>
      </c>
      <c r="Y155" s="125">
        <f t="shared" si="96"/>
        <v>0</v>
      </c>
      <c r="Z155" s="126">
        <f t="shared" si="97"/>
        <v>0</v>
      </c>
      <c r="AA155" s="126">
        <f t="shared" si="98"/>
        <v>0</v>
      </c>
    </row>
    <row r="156" spans="1:27" s="87" customFormat="1" ht="13.5" customHeight="1">
      <c r="A156" s="109"/>
      <c r="B156" s="110"/>
      <c r="C156" s="111" t="s">
        <v>189</v>
      </c>
      <c r="D156" s="148" t="s">
        <v>190</v>
      </c>
      <c r="E156" s="113" t="s">
        <v>2</v>
      </c>
      <c r="F156" s="114">
        <v>447885</v>
      </c>
      <c r="G156" s="115">
        <v>10</v>
      </c>
      <c r="H156" s="116">
        <f>F156*G156</f>
        <v>4478850</v>
      </c>
      <c r="I156" s="103">
        <v>10</v>
      </c>
      <c r="J156" s="99">
        <f>+I156*F156</f>
        <v>4478850</v>
      </c>
      <c r="K156" s="118"/>
      <c r="L156" s="99">
        <f>+K156*F156</f>
        <v>0</v>
      </c>
      <c r="M156" s="118"/>
      <c r="N156" s="99">
        <f>+M156*F156</f>
        <v>0</v>
      </c>
      <c r="O156" s="100">
        <f t="shared" si="95"/>
        <v>10</v>
      </c>
      <c r="P156" s="119">
        <f>+I156-K156-M156</f>
        <v>10</v>
      </c>
      <c r="Q156" s="120">
        <f>+P156*F156</f>
        <v>4478850</v>
      </c>
      <c r="R156" s="103">
        <f>+I156-K156-M156-P156</f>
        <v>0</v>
      </c>
      <c r="S156" s="104">
        <f>+R156*F156</f>
        <v>0</v>
      </c>
      <c r="T156" s="119">
        <f>+K156+M156+O156+R156</f>
        <v>10</v>
      </c>
      <c r="U156" s="121"/>
      <c r="V156" s="122">
        <f>+T156*F156</f>
        <v>4478850</v>
      </c>
      <c r="W156" s="123">
        <f>+I156-T156</f>
        <v>0</v>
      </c>
      <c r="X156" s="124">
        <f>+W156*F156</f>
        <v>0</v>
      </c>
      <c r="Y156" s="125">
        <f t="shared" si="96"/>
        <v>0</v>
      </c>
      <c r="Z156" s="126">
        <f t="shared" si="97"/>
        <v>0</v>
      </c>
      <c r="AA156" s="126">
        <f t="shared" si="98"/>
        <v>4478850</v>
      </c>
    </row>
    <row r="157" spans="1:27" s="87" customFormat="1" ht="13.5" customHeight="1">
      <c r="A157" s="109"/>
      <c r="B157" s="110"/>
      <c r="C157" s="111" t="s">
        <v>191</v>
      </c>
      <c r="D157" s="148" t="s">
        <v>192</v>
      </c>
      <c r="E157" s="113" t="s">
        <v>2</v>
      </c>
      <c r="F157" s="114">
        <v>245839</v>
      </c>
      <c r="G157" s="115">
        <v>40</v>
      </c>
      <c r="H157" s="116">
        <f>F157*G157</f>
        <v>9833560</v>
      </c>
      <c r="I157" s="103">
        <v>0</v>
      </c>
      <c r="J157" s="99">
        <f>+I157*F157</f>
        <v>0</v>
      </c>
      <c r="K157" s="118"/>
      <c r="L157" s="99">
        <f>+K157*F157</f>
        <v>0</v>
      </c>
      <c r="M157" s="118">
        <v>40</v>
      </c>
      <c r="N157" s="99">
        <f>+M157*F157</f>
        <v>9833560</v>
      </c>
      <c r="O157" s="100">
        <f t="shared" si="95"/>
        <v>-40</v>
      </c>
      <c r="P157" s="119">
        <f>+I157-K157-M157</f>
        <v>-40</v>
      </c>
      <c r="Q157" s="120">
        <f>+P157*F157</f>
        <v>-9833560</v>
      </c>
      <c r="R157" s="103">
        <f>+I157-K157-M157-P157</f>
        <v>0</v>
      </c>
      <c r="S157" s="104">
        <f>+R157*F157</f>
        <v>0</v>
      </c>
      <c r="T157" s="119">
        <f>+K157+M157+O157+R157</f>
        <v>0</v>
      </c>
      <c r="U157" s="121"/>
      <c r="V157" s="122">
        <f>+T157*F157</f>
        <v>0</v>
      </c>
      <c r="W157" s="123">
        <v>0</v>
      </c>
      <c r="X157" s="124">
        <f>+W157*F157</f>
        <v>0</v>
      </c>
      <c r="Y157" s="125">
        <f t="shared" si="96"/>
        <v>0</v>
      </c>
      <c r="Z157" s="126">
        <f t="shared" si="97"/>
        <v>0</v>
      </c>
      <c r="AA157" s="126">
        <f t="shared" si="98"/>
        <v>-9833560</v>
      </c>
    </row>
    <row r="158" spans="1:27" s="87" customFormat="1" ht="13.5" customHeight="1">
      <c r="A158" s="109"/>
      <c r="B158" s="110"/>
      <c r="C158" s="111"/>
      <c r="D158" s="148" t="s">
        <v>192</v>
      </c>
      <c r="E158" s="113" t="s">
        <v>2</v>
      </c>
      <c r="F158" s="114">
        <v>162234</v>
      </c>
      <c r="G158" s="115"/>
      <c r="H158" s="116"/>
      <c r="I158" s="103">
        <v>40</v>
      </c>
      <c r="J158" s="99">
        <f>+I158*F158</f>
        <v>6489360</v>
      </c>
      <c r="K158" s="118"/>
      <c r="L158" s="99">
        <f>+K158*F158</f>
        <v>0</v>
      </c>
      <c r="M158" s="118"/>
      <c r="N158" s="99">
        <f>+M158*F158</f>
        <v>0</v>
      </c>
      <c r="O158" s="128"/>
      <c r="P158" s="119">
        <v>0</v>
      </c>
      <c r="Q158" s="120">
        <f>+P158*F158</f>
        <v>0</v>
      </c>
      <c r="R158" s="103">
        <f>+I158-K158-M158-P158</f>
        <v>40</v>
      </c>
      <c r="S158" s="104">
        <f>+R158*F158</f>
        <v>6489360</v>
      </c>
      <c r="T158" s="119">
        <f>+K158+M158+O158+R158</f>
        <v>40</v>
      </c>
      <c r="U158" s="121"/>
      <c r="V158" s="122">
        <f>+T158*F158</f>
        <v>6489360</v>
      </c>
      <c r="W158" s="123">
        <f>+I158-T158</f>
        <v>0</v>
      </c>
      <c r="X158" s="124">
        <f>+W158*F158</f>
        <v>0</v>
      </c>
      <c r="Y158" s="125">
        <f t="shared" si="96"/>
        <v>0</v>
      </c>
      <c r="Z158" s="126">
        <f t="shared" si="97"/>
        <v>0</v>
      </c>
      <c r="AA158" s="126">
        <f t="shared" si="98"/>
        <v>0</v>
      </c>
    </row>
    <row r="159" spans="1:27" s="87" customFormat="1" ht="13.5" customHeight="1">
      <c r="A159" s="109"/>
      <c r="B159" s="110"/>
      <c r="C159" s="90"/>
      <c r="D159" s="129" t="s">
        <v>31</v>
      </c>
      <c r="E159" s="130"/>
      <c r="F159" s="131"/>
      <c r="G159" s="132"/>
      <c r="H159" s="133">
        <f>SUM(H155:H158)</f>
        <v>25086720.4</v>
      </c>
      <c r="I159" s="168"/>
      <c r="J159" s="135">
        <f>SUM(J155:J158)</f>
        <v>10968210</v>
      </c>
      <c r="K159" s="136"/>
      <c r="L159" s="135">
        <f>SUM(L155:L158)</f>
        <v>0</v>
      </c>
      <c r="M159" s="136"/>
      <c r="N159" s="135">
        <f>SUM(N155:N158)</f>
        <v>9833560</v>
      </c>
      <c r="O159" s="100">
        <f t="shared" si="95"/>
        <v>0</v>
      </c>
      <c r="P159" s="137"/>
      <c r="Q159" s="133">
        <f>SUM(Q155:Q158)</f>
        <v>-5354710</v>
      </c>
      <c r="R159" s="138"/>
      <c r="S159" s="133">
        <f>SUM(S155:S158)</f>
        <v>6489360</v>
      </c>
      <c r="T159" s="137"/>
      <c r="U159" s="139"/>
      <c r="V159" s="133">
        <f>SUM(V155:V158)</f>
        <v>10968210</v>
      </c>
      <c r="W159" s="140"/>
      <c r="X159" s="141">
        <f>SUM(X155:X158)</f>
        <v>0</v>
      </c>
      <c r="Y159" s="125">
        <f t="shared" si="96"/>
        <v>0</v>
      </c>
      <c r="Z159" s="126">
        <f t="shared" si="97"/>
        <v>0</v>
      </c>
      <c r="AA159" s="126">
        <f t="shared" si="98"/>
        <v>-5354710</v>
      </c>
    </row>
    <row r="160" spans="1:27" s="87" customFormat="1" ht="13.5" customHeight="1">
      <c r="A160" s="109"/>
      <c r="B160" s="110">
        <v>14.2</v>
      </c>
      <c r="C160" s="90"/>
      <c r="D160" s="142" t="s">
        <v>193</v>
      </c>
      <c r="E160" s="143"/>
      <c r="F160" s="144"/>
      <c r="G160" s="145"/>
      <c r="H160" s="146"/>
      <c r="I160" s="103"/>
      <c r="J160" s="99"/>
      <c r="K160" s="118"/>
      <c r="L160" s="99"/>
      <c r="M160" s="118"/>
      <c r="N160" s="99"/>
      <c r="O160" s="100">
        <f t="shared" si="95"/>
        <v>0</v>
      </c>
      <c r="P160" s="119"/>
      <c r="Q160" s="120"/>
      <c r="R160" s="103"/>
      <c r="S160" s="104"/>
      <c r="T160" s="119"/>
      <c r="U160" s="121"/>
      <c r="V160" s="122"/>
      <c r="W160" s="147"/>
      <c r="X160" s="124"/>
      <c r="Y160" s="125">
        <f t="shared" si="96"/>
        <v>0</v>
      </c>
      <c r="Z160" s="126">
        <f t="shared" si="97"/>
        <v>0</v>
      </c>
      <c r="AA160" s="126">
        <f t="shared" si="98"/>
        <v>0</v>
      </c>
    </row>
    <row r="161" spans="1:27" s="87" customFormat="1" ht="13.5" customHeight="1">
      <c r="A161" s="109"/>
      <c r="B161" s="110"/>
      <c r="C161" s="111" t="s">
        <v>194</v>
      </c>
      <c r="D161" s="148" t="s">
        <v>188</v>
      </c>
      <c r="E161" s="113" t="s">
        <v>20</v>
      </c>
      <c r="F161" s="114">
        <v>386176</v>
      </c>
      <c r="G161" s="115">
        <v>27.9</v>
      </c>
      <c r="H161" s="116">
        <f>F161*G161</f>
        <v>10774310.4</v>
      </c>
      <c r="I161" s="103">
        <v>0</v>
      </c>
      <c r="J161" s="99">
        <f>+I161*F161</f>
        <v>0</v>
      </c>
      <c r="K161" s="118"/>
      <c r="L161" s="99">
        <f>+K161*F161</f>
        <v>0</v>
      </c>
      <c r="M161" s="118"/>
      <c r="N161" s="99">
        <f>+M161*F161</f>
        <v>0</v>
      </c>
      <c r="O161" s="100">
        <f t="shared" si="95"/>
        <v>0</v>
      </c>
      <c r="P161" s="119">
        <f>+I161-K161-M161</f>
        <v>0</v>
      </c>
      <c r="Q161" s="120">
        <f>+P161*F161</f>
        <v>0</v>
      </c>
      <c r="R161" s="103">
        <f>+I161-K161-M161-P161</f>
        <v>0</v>
      </c>
      <c r="S161" s="104">
        <f>+R161*F161</f>
        <v>0</v>
      </c>
      <c r="T161" s="119">
        <f>+K161+M161+O161+R161</f>
        <v>0</v>
      </c>
      <c r="U161" s="121"/>
      <c r="V161" s="122">
        <f>+T161*F161</f>
        <v>0</v>
      </c>
      <c r="W161" s="123">
        <f>+I161-T161</f>
        <v>0</v>
      </c>
      <c r="X161" s="124">
        <f>+W161*F161</f>
        <v>0</v>
      </c>
      <c r="Y161" s="125">
        <f t="shared" si="96"/>
        <v>0</v>
      </c>
      <c r="Z161" s="126">
        <f t="shared" si="97"/>
        <v>0</v>
      </c>
      <c r="AA161" s="126">
        <f t="shared" si="98"/>
        <v>0</v>
      </c>
    </row>
    <row r="162" spans="1:27" s="87" customFormat="1" ht="13.5" customHeight="1">
      <c r="A162" s="109"/>
      <c r="B162" s="110"/>
      <c r="C162" s="111" t="s">
        <v>195</v>
      </c>
      <c r="D162" s="148" t="s">
        <v>190</v>
      </c>
      <c r="E162" s="113" t="s">
        <v>2</v>
      </c>
      <c r="F162" s="114">
        <v>447885</v>
      </c>
      <c r="G162" s="115">
        <v>10</v>
      </c>
      <c r="H162" s="116">
        <f>F162*G162</f>
        <v>4478850</v>
      </c>
      <c r="I162" s="103">
        <v>10</v>
      </c>
      <c r="J162" s="99">
        <f>+I162*F162</f>
        <v>4478850</v>
      </c>
      <c r="K162" s="118"/>
      <c r="L162" s="99">
        <f>+K162*F162</f>
        <v>0</v>
      </c>
      <c r="M162" s="118"/>
      <c r="N162" s="99">
        <f>+M162*F162</f>
        <v>0</v>
      </c>
      <c r="O162" s="100">
        <f t="shared" si="95"/>
        <v>10</v>
      </c>
      <c r="P162" s="119">
        <f>+I162-K162-M162</f>
        <v>10</v>
      </c>
      <c r="Q162" s="120">
        <f>+P162*F162</f>
        <v>4478850</v>
      </c>
      <c r="R162" s="103">
        <f>+I162-K162-M162-P162</f>
        <v>0</v>
      </c>
      <c r="S162" s="104">
        <f>+R162*F162</f>
        <v>0</v>
      </c>
      <c r="T162" s="119">
        <f>+K162+M162+O162+R162</f>
        <v>10</v>
      </c>
      <c r="U162" s="121"/>
      <c r="V162" s="122">
        <f>+T162*F162</f>
        <v>4478850</v>
      </c>
      <c r="W162" s="123">
        <f>+I162-T162</f>
        <v>0</v>
      </c>
      <c r="X162" s="124">
        <f>+W162*F162</f>
        <v>0</v>
      </c>
      <c r="Y162" s="125">
        <f t="shared" si="96"/>
        <v>0</v>
      </c>
      <c r="Z162" s="126">
        <f t="shared" si="97"/>
        <v>0</v>
      </c>
      <c r="AA162" s="126">
        <f t="shared" si="98"/>
        <v>4478850</v>
      </c>
    </row>
    <row r="163" spans="1:27" s="87" customFormat="1" ht="13.5" customHeight="1">
      <c r="A163" s="109"/>
      <c r="B163" s="110"/>
      <c r="C163" s="111" t="s">
        <v>196</v>
      </c>
      <c r="D163" s="148" t="s">
        <v>192</v>
      </c>
      <c r="E163" s="113" t="s">
        <v>2</v>
      </c>
      <c r="F163" s="114">
        <v>245839</v>
      </c>
      <c r="G163" s="115">
        <v>40</v>
      </c>
      <c r="H163" s="116">
        <f>F163*G163</f>
        <v>9833560</v>
      </c>
      <c r="I163" s="103">
        <v>0</v>
      </c>
      <c r="J163" s="99">
        <f>+I163*F163</f>
        <v>0</v>
      </c>
      <c r="K163" s="118"/>
      <c r="L163" s="99">
        <f>+K163*F163</f>
        <v>0</v>
      </c>
      <c r="M163" s="118">
        <v>40</v>
      </c>
      <c r="N163" s="99">
        <f>+M163*F163</f>
        <v>9833560</v>
      </c>
      <c r="O163" s="100">
        <f t="shared" si="95"/>
        <v>-40</v>
      </c>
      <c r="P163" s="119">
        <f>+I163-K163-M163</f>
        <v>-40</v>
      </c>
      <c r="Q163" s="120">
        <f>+P163*F163</f>
        <v>-9833560</v>
      </c>
      <c r="R163" s="103">
        <f>+I163-K163-M163-P163</f>
        <v>0</v>
      </c>
      <c r="S163" s="104">
        <f>+R163*F163</f>
        <v>0</v>
      </c>
      <c r="T163" s="119">
        <f>+K163+M163+O163+R163</f>
        <v>0</v>
      </c>
      <c r="U163" s="121"/>
      <c r="V163" s="122">
        <f>+T163*F163</f>
        <v>0</v>
      </c>
      <c r="W163" s="123">
        <f>+I163-T163</f>
        <v>0</v>
      </c>
      <c r="X163" s="124">
        <f>+W163*F163</f>
        <v>0</v>
      </c>
      <c r="Y163" s="125">
        <f t="shared" si="96"/>
        <v>0</v>
      </c>
      <c r="Z163" s="126">
        <f t="shared" si="97"/>
        <v>0</v>
      </c>
      <c r="AA163" s="126">
        <f t="shared" si="98"/>
        <v>-9833560</v>
      </c>
    </row>
    <row r="164" spans="1:27" s="87" customFormat="1" ht="13.5" customHeight="1">
      <c r="A164" s="109"/>
      <c r="B164" s="110"/>
      <c r="C164" s="111"/>
      <c r="D164" s="148" t="s">
        <v>192</v>
      </c>
      <c r="E164" s="113" t="s">
        <v>2</v>
      </c>
      <c r="F164" s="114">
        <v>162234</v>
      </c>
      <c r="G164" s="115"/>
      <c r="H164" s="116"/>
      <c r="I164" s="103">
        <v>40</v>
      </c>
      <c r="J164" s="99">
        <f>+I164*F164</f>
        <v>6489360</v>
      </c>
      <c r="K164" s="118"/>
      <c r="L164" s="99">
        <f>+K164*F164</f>
        <v>0</v>
      </c>
      <c r="M164" s="118"/>
      <c r="N164" s="99">
        <f>+M164*F164</f>
        <v>0</v>
      </c>
      <c r="O164" s="128">
        <v>0</v>
      </c>
      <c r="P164" s="119">
        <v>0</v>
      </c>
      <c r="Q164" s="120">
        <f>+P164*F164</f>
        <v>0</v>
      </c>
      <c r="R164" s="103">
        <f>+I164-K164-M164-P164</f>
        <v>40</v>
      </c>
      <c r="S164" s="104">
        <f>+R164*F164</f>
        <v>6489360</v>
      </c>
      <c r="T164" s="119">
        <f>+K164+M164+O164+R164</f>
        <v>40</v>
      </c>
      <c r="U164" s="121"/>
      <c r="V164" s="122">
        <f>+T164*F164</f>
        <v>6489360</v>
      </c>
      <c r="W164" s="123">
        <f>+I164-T164</f>
        <v>0</v>
      </c>
      <c r="X164" s="124">
        <f>+W164*F164</f>
        <v>0</v>
      </c>
      <c r="Y164" s="125">
        <f t="shared" si="96"/>
        <v>0</v>
      </c>
      <c r="Z164" s="126">
        <f t="shared" si="97"/>
        <v>0</v>
      </c>
      <c r="AA164" s="126">
        <f t="shared" si="98"/>
        <v>0</v>
      </c>
    </row>
    <row r="165" spans="1:27" s="87" customFormat="1" ht="13.5" customHeight="1">
      <c r="A165" s="109"/>
      <c r="B165" s="110"/>
      <c r="C165" s="90"/>
      <c r="D165" s="129" t="s">
        <v>31</v>
      </c>
      <c r="E165" s="130"/>
      <c r="F165" s="131"/>
      <c r="G165" s="132"/>
      <c r="H165" s="133">
        <f>SUM(H161:H164)</f>
        <v>25086720.4</v>
      </c>
      <c r="I165" s="134"/>
      <c r="J165" s="135">
        <f>SUM(J161:J164)</f>
        <v>10968210</v>
      </c>
      <c r="K165" s="136"/>
      <c r="L165" s="135">
        <f>SUM(L161:L164)</f>
        <v>0</v>
      </c>
      <c r="M165" s="136"/>
      <c r="N165" s="135">
        <f>SUM(N161:N164)</f>
        <v>9833560</v>
      </c>
      <c r="O165" s="100">
        <f t="shared" si="95"/>
        <v>0</v>
      </c>
      <c r="P165" s="137"/>
      <c r="Q165" s="133">
        <f>SUM(Q161:Q164)</f>
        <v>-5354710</v>
      </c>
      <c r="R165" s="138"/>
      <c r="S165" s="135">
        <f>SUM(S161:S164)</f>
        <v>6489360</v>
      </c>
      <c r="T165" s="137"/>
      <c r="U165" s="139"/>
      <c r="V165" s="133">
        <f>SUM(V161:V164)</f>
        <v>10968210</v>
      </c>
      <c r="W165" s="140"/>
      <c r="X165" s="141">
        <f>SUM(X161:X164)</f>
        <v>0</v>
      </c>
      <c r="Y165" s="125">
        <f t="shared" si="96"/>
        <v>0</v>
      </c>
      <c r="Z165" s="126">
        <f t="shared" si="97"/>
        <v>0</v>
      </c>
      <c r="AA165" s="126">
        <f t="shared" si="98"/>
        <v>-5354710</v>
      </c>
    </row>
    <row r="166" spans="1:27" s="87" customFormat="1" ht="13.5" customHeight="1">
      <c r="A166" s="109">
        <v>15</v>
      </c>
      <c r="B166" s="110"/>
      <c r="C166" s="90"/>
      <c r="D166" s="142" t="s">
        <v>197</v>
      </c>
      <c r="E166" s="143"/>
      <c r="F166" s="144"/>
      <c r="G166" s="145"/>
      <c r="H166" s="146"/>
      <c r="I166" s="117"/>
      <c r="J166" s="99"/>
      <c r="K166" s="118"/>
      <c r="L166" s="99"/>
      <c r="M166" s="118"/>
      <c r="N166" s="99"/>
      <c r="O166" s="100">
        <f t="shared" si="95"/>
        <v>0</v>
      </c>
      <c r="P166" s="119"/>
      <c r="Q166" s="120"/>
      <c r="R166" s="103"/>
      <c r="S166" s="104"/>
      <c r="T166" s="119"/>
      <c r="U166" s="121"/>
      <c r="V166" s="122"/>
      <c r="W166" s="147"/>
      <c r="X166" s="124"/>
      <c r="Y166" s="125">
        <f t="shared" si="96"/>
        <v>0</v>
      </c>
      <c r="Z166" s="126">
        <f>+X166-Y166</f>
        <v>0</v>
      </c>
      <c r="AA166" s="126">
        <f t="shared" si="98"/>
        <v>0</v>
      </c>
    </row>
    <row r="167" spans="1:27" s="87" customFormat="1" ht="13.5" customHeight="1">
      <c r="A167" s="109"/>
      <c r="B167" s="110">
        <v>15.1</v>
      </c>
      <c r="C167" s="90"/>
      <c r="D167" s="142" t="s">
        <v>186</v>
      </c>
      <c r="E167" s="143"/>
      <c r="F167" s="144"/>
      <c r="G167" s="145"/>
      <c r="H167" s="146"/>
      <c r="I167" s="117"/>
      <c r="J167" s="99"/>
      <c r="K167" s="118"/>
      <c r="L167" s="99"/>
      <c r="M167" s="118"/>
      <c r="N167" s="99"/>
      <c r="O167" s="100">
        <f t="shared" si="95"/>
        <v>0</v>
      </c>
      <c r="P167" s="119"/>
      <c r="Q167" s="120"/>
      <c r="R167" s="103"/>
      <c r="S167" s="104"/>
      <c r="T167" s="119"/>
      <c r="U167" s="121"/>
      <c r="V167" s="122"/>
      <c r="W167" s="147"/>
      <c r="X167" s="124"/>
      <c r="Y167" s="125">
        <f t="shared" si="96"/>
        <v>0</v>
      </c>
      <c r="Z167" s="126">
        <f aca="true" t="shared" si="99" ref="Z167:Z212">+X167-Y167</f>
        <v>0</v>
      </c>
      <c r="AA167" s="126">
        <f t="shared" si="98"/>
        <v>0</v>
      </c>
    </row>
    <row r="168" spans="1:27" s="87" customFormat="1" ht="13.5" customHeight="1">
      <c r="A168" s="109"/>
      <c r="B168" s="110"/>
      <c r="C168" s="111" t="s">
        <v>198</v>
      </c>
      <c r="D168" s="148" t="s">
        <v>199</v>
      </c>
      <c r="E168" s="113" t="s">
        <v>2</v>
      </c>
      <c r="F168" s="114">
        <v>379209</v>
      </c>
      <c r="G168" s="115">
        <v>14</v>
      </c>
      <c r="H168" s="116">
        <f aca="true" t="shared" si="100" ref="H168:H173">F168*G168</f>
        <v>5308926</v>
      </c>
      <c r="I168" s="117">
        <v>14</v>
      </c>
      <c r="J168" s="99">
        <f aca="true" t="shared" si="101" ref="J168:J173">+I168*F168</f>
        <v>5308926</v>
      </c>
      <c r="K168" s="118"/>
      <c r="L168" s="99">
        <f aca="true" t="shared" si="102" ref="L168:L173">+K168*F168</f>
        <v>0</v>
      </c>
      <c r="M168" s="118"/>
      <c r="N168" s="99">
        <f aca="true" t="shared" si="103" ref="N168:N173">+M168*F168</f>
        <v>0</v>
      </c>
      <c r="O168" s="128"/>
      <c r="P168" s="119"/>
      <c r="Q168" s="120">
        <f aca="true" t="shared" si="104" ref="Q168:Q173">+P168*F168</f>
        <v>0</v>
      </c>
      <c r="R168" s="103">
        <f aca="true" t="shared" si="105" ref="R168:R173">+I168-K168-M168-P168</f>
        <v>14</v>
      </c>
      <c r="S168" s="104">
        <f aca="true" t="shared" si="106" ref="S168:S173">+R168*F168</f>
        <v>5308926</v>
      </c>
      <c r="T168" s="119">
        <f aca="true" t="shared" si="107" ref="T168:T173">+K168+M168+O168+R168</f>
        <v>14</v>
      </c>
      <c r="U168" s="121"/>
      <c r="V168" s="122">
        <f aca="true" t="shared" si="108" ref="V168:V173">+T168*F168</f>
        <v>5308926</v>
      </c>
      <c r="W168" s="123">
        <f aca="true" t="shared" si="109" ref="W168:W173">+I168-T168</f>
        <v>0</v>
      </c>
      <c r="X168" s="124">
        <f aca="true" t="shared" si="110" ref="X168:X173">+W168*F168</f>
        <v>0</v>
      </c>
      <c r="Y168" s="125">
        <f t="shared" si="96"/>
        <v>0</v>
      </c>
      <c r="Z168" s="126">
        <f t="shared" si="99"/>
        <v>0</v>
      </c>
      <c r="AA168" s="126">
        <f t="shared" si="98"/>
        <v>0</v>
      </c>
    </row>
    <row r="169" spans="1:27" s="87" customFormat="1" ht="13.5" customHeight="1">
      <c r="A169" s="109"/>
      <c r="B169" s="110"/>
      <c r="C169" s="111" t="s">
        <v>200</v>
      </c>
      <c r="D169" s="148" t="s">
        <v>201</v>
      </c>
      <c r="E169" s="113" t="s">
        <v>2</v>
      </c>
      <c r="F169" s="114">
        <v>266740</v>
      </c>
      <c r="G169" s="115">
        <v>14</v>
      </c>
      <c r="H169" s="116">
        <f t="shared" si="100"/>
        <v>3734360</v>
      </c>
      <c r="I169" s="117">
        <v>14</v>
      </c>
      <c r="J169" s="99">
        <f t="shared" si="101"/>
        <v>3734360</v>
      </c>
      <c r="K169" s="118"/>
      <c r="L169" s="99">
        <f t="shared" si="102"/>
        <v>0</v>
      </c>
      <c r="M169" s="118"/>
      <c r="N169" s="99">
        <f t="shared" si="103"/>
        <v>0</v>
      </c>
      <c r="O169" s="128"/>
      <c r="P169" s="119"/>
      <c r="Q169" s="120">
        <f t="shared" si="104"/>
        <v>0</v>
      </c>
      <c r="R169" s="103">
        <f t="shared" si="105"/>
        <v>14</v>
      </c>
      <c r="S169" s="104">
        <f t="shared" si="106"/>
        <v>3734360</v>
      </c>
      <c r="T169" s="119">
        <f t="shared" si="107"/>
        <v>14</v>
      </c>
      <c r="U169" s="121"/>
      <c r="V169" s="122">
        <f t="shared" si="108"/>
        <v>3734360</v>
      </c>
      <c r="W169" s="123">
        <f t="shared" si="109"/>
        <v>0</v>
      </c>
      <c r="X169" s="124">
        <f t="shared" si="110"/>
        <v>0</v>
      </c>
      <c r="Y169" s="125">
        <f t="shared" si="96"/>
        <v>0</v>
      </c>
      <c r="Z169" s="126">
        <f t="shared" si="99"/>
        <v>0</v>
      </c>
      <c r="AA169" s="126">
        <f t="shared" si="98"/>
        <v>0</v>
      </c>
    </row>
    <row r="170" spans="1:27" s="87" customFormat="1" ht="13.5" customHeight="1">
      <c r="A170" s="109"/>
      <c r="B170" s="110"/>
      <c r="C170" s="111" t="s">
        <v>202</v>
      </c>
      <c r="D170" s="148" t="s">
        <v>203</v>
      </c>
      <c r="E170" s="113" t="s">
        <v>2</v>
      </c>
      <c r="F170" s="114">
        <v>326458</v>
      </c>
      <c r="G170" s="115">
        <v>6</v>
      </c>
      <c r="H170" s="116">
        <f t="shared" si="100"/>
        <v>1958748</v>
      </c>
      <c r="I170" s="117">
        <v>9</v>
      </c>
      <c r="J170" s="99">
        <f t="shared" si="101"/>
        <v>2938122</v>
      </c>
      <c r="K170" s="118"/>
      <c r="L170" s="99">
        <f t="shared" si="102"/>
        <v>0</v>
      </c>
      <c r="M170" s="118"/>
      <c r="N170" s="99">
        <f t="shared" si="103"/>
        <v>0</v>
      </c>
      <c r="O170" s="128"/>
      <c r="P170" s="119"/>
      <c r="Q170" s="120">
        <f t="shared" si="104"/>
        <v>0</v>
      </c>
      <c r="R170" s="103">
        <f t="shared" si="105"/>
        <v>9</v>
      </c>
      <c r="S170" s="104">
        <f t="shared" si="106"/>
        <v>2938122</v>
      </c>
      <c r="T170" s="119">
        <f t="shared" si="107"/>
        <v>9</v>
      </c>
      <c r="U170" s="121"/>
      <c r="V170" s="122">
        <f t="shared" si="108"/>
        <v>2938122</v>
      </c>
      <c r="W170" s="123">
        <f t="shared" si="109"/>
        <v>0</v>
      </c>
      <c r="X170" s="124">
        <f t="shared" si="110"/>
        <v>0</v>
      </c>
      <c r="Y170" s="125">
        <f t="shared" si="96"/>
        <v>0</v>
      </c>
      <c r="Z170" s="126">
        <f t="shared" si="99"/>
        <v>0</v>
      </c>
      <c r="AA170" s="126">
        <f t="shared" si="98"/>
        <v>0</v>
      </c>
    </row>
    <row r="171" spans="1:27" s="87" customFormat="1" ht="13.5" customHeight="1">
      <c r="A171" s="109"/>
      <c r="B171" s="110"/>
      <c r="C171" s="111" t="s">
        <v>204</v>
      </c>
      <c r="D171" s="148" t="s">
        <v>28</v>
      </c>
      <c r="E171" s="113" t="s">
        <v>2</v>
      </c>
      <c r="F171" s="114">
        <v>281670</v>
      </c>
      <c r="G171" s="115">
        <v>24</v>
      </c>
      <c r="H171" s="116">
        <f t="shared" si="100"/>
        <v>6760080</v>
      </c>
      <c r="I171" s="117">
        <v>0</v>
      </c>
      <c r="J171" s="99">
        <f t="shared" si="101"/>
        <v>0</v>
      </c>
      <c r="K171" s="118"/>
      <c r="L171" s="99">
        <f t="shared" si="102"/>
        <v>0</v>
      </c>
      <c r="M171" s="118"/>
      <c r="N171" s="99">
        <f t="shared" si="103"/>
        <v>0</v>
      </c>
      <c r="O171" s="128"/>
      <c r="P171" s="119"/>
      <c r="Q171" s="120">
        <f t="shared" si="104"/>
        <v>0</v>
      </c>
      <c r="R171" s="103">
        <f t="shared" si="105"/>
        <v>0</v>
      </c>
      <c r="S171" s="104">
        <f t="shared" si="106"/>
        <v>0</v>
      </c>
      <c r="T171" s="119">
        <f t="shared" si="107"/>
        <v>0</v>
      </c>
      <c r="U171" s="121"/>
      <c r="V171" s="122">
        <f t="shared" si="108"/>
        <v>0</v>
      </c>
      <c r="W171" s="123">
        <f t="shared" si="109"/>
        <v>0</v>
      </c>
      <c r="X171" s="124">
        <f t="shared" si="110"/>
        <v>0</v>
      </c>
      <c r="Y171" s="125">
        <f t="shared" si="96"/>
        <v>0</v>
      </c>
      <c r="Z171" s="126">
        <f t="shared" si="99"/>
        <v>0</v>
      </c>
      <c r="AA171" s="126">
        <f t="shared" si="98"/>
        <v>0</v>
      </c>
    </row>
    <row r="172" spans="1:27" s="87" customFormat="1" ht="13.5" customHeight="1">
      <c r="A172" s="109"/>
      <c r="B172" s="110"/>
      <c r="C172" s="111" t="s">
        <v>205</v>
      </c>
      <c r="D172" s="148" t="s">
        <v>206</v>
      </c>
      <c r="E172" s="113" t="s">
        <v>2</v>
      </c>
      <c r="F172" s="114">
        <v>912690</v>
      </c>
      <c r="G172" s="115">
        <v>6</v>
      </c>
      <c r="H172" s="116">
        <f t="shared" si="100"/>
        <v>5476140</v>
      </c>
      <c r="I172" s="117">
        <v>6</v>
      </c>
      <c r="J172" s="99">
        <f t="shared" si="101"/>
        <v>5476140</v>
      </c>
      <c r="K172" s="118"/>
      <c r="L172" s="99">
        <f t="shared" si="102"/>
        <v>0</v>
      </c>
      <c r="M172" s="118"/>
      <c r="N172" s="99">
        <f t="shared" si="103"/>
        <v>0</v>
      </c>
      <c r="O172" s="128"/>
      <c r="P172" s="119"/>
      <c r="Q172" s="120">
        <f t="shared" si="104"/>
        <v>0</v>
      </c>
      <c r="R172" s="103">
        <f t="shared" si="105"/>
        <v>6</v>
      </c>
      <c r="S172" s="104">
        <f t="shared" si="106"/>
        <v>5476140</v>
      </c>
      <c r="T172" s="119">
        <f t="shared" si="107"/>
        <v>6</v>
      </c>
      <c r="U172" s="121"/>
      <c r="V172" s="122">
        <f t="shared" si="108"/>
        <v>5476140</v>
      </c>
      <c r="W172" s="123">
        <f t="shared" si="109"/>
        <v>0</v>
      </c>
      <c r="X172" s="124">
        <f t="shared" si="110"/>
        <v>0</v>
      </c>
      <c r="Y172" s="125">
        <f t="shared" si="96"/>
        <v>0</v>
      </c>
      <c r="Z172" s="126">
        <f t="shared" si="99"/>
        <v>0</v>
      </c>
      <c r="AA172" s="126">
        <f t="shared" si="98"/>
        <v>0</v>
      </c>
    </row>
    <row r="173" spans="1:27" s="87" customFormat="1" ht="13.5" customHeight="1">
      <c r="A173" s="109"/>
      <c r="B173" s="110"/>
      <c r="C173" s="111" t="s">
        <v>207</v>
      </c>
      <c r="D173" s="148" t="s">
        <v>208</v>
      </c>
      <c r="E173" s="113" t="s">
        <v>2</v>
      </c>
      <c r="F173" s="114">
        <v>1755709</v>
      </c>
      <c r="G173" s="115">
        <v>5</v>
      </c>
      <c r="H173" s="116">
        <f t="shared" si="100"/>
        <v>8778545</v>
      </c>
      <c r="I173" s="117">
        <v>6</v>
      </c>
      <c r="J173" s="99">
        <f t="shared" si="101"/>
        <v>10534254</v>
      </c>
      <c r="K173" s="118"/>
      <c r="L173" s="99">
        <f t="shared" si="102"/>
        <v>0</v>
      </c>
      <c r="M173" s="118"/>
      <c r="N173" s="99">
        <f t="shared" si="103"/>
        <v>0</v>
      </c>
      <c r="O173" s="128"/>
      <c r="P173" s="119"/>
      <c r="Q173" s="120">
        <f t="shared" si="104"/>
        <v>0</v>
      </c>
      <c r="R173" s="103">
        <f t="shared" si="105"/>
        <v>6</v>
      </c>
      <c r="S173" s="104">
        <f t="shared" si="106"/>
        <v>10534254</v>
      </c>
      <c r="T173" s="119">
        <f t="shared" si="107"/>
        <v>6</v>
      </c>
      <c r="U173" s="121"/>
      <c r="V173" s="122">
        <f t="shared" si="108"/>
        <v>10534254</v>
      </c>
      <c r="W173" s="123">
        <f t="shared" si="109"/>
        <v>0</v>
      </c>
      <c r="X173" s="124">
        <f t="shared" si="110"/>
        <v>0</v>
      </c>
      <c r="Y173" s="125">
        <f t="shared" si="96"/>
        <v>0</v>
      </c>
      <c r="Z173" s="126">
        <f t="shared" si="99"/>
        <v>0</v>
      </c>
      <c r="AA173" s="126">
        <f t="shared" si="98"/>
        <v>0</v>
      </c>
    </row>
    <row r="174" spans="1:27" s="87" customFormat="1" ht="13.5" customHeight="1">
      <c r="A174" s="109"/>
      <c r="B174" s="110"/>
      <c r="C174" s="90"/>
      <c r="D174" s="129" t="s">
        <v>31</v>
      </c>
      <c r="E174" s="130"/>
      <c r="F174" s="131"/>
      <c r="G174" s="132"/>
      <c r="H174" s="183">
        <f>SUM(H168:H173)</f>
        <v>32016799</v>
      </c>
      <c r="I174" s="184"/>
      <c r="J174" s="185">
        <f>SUM(J168:J173)</f>
        <v>27991802</v>
      </c>
      <c r="K174" s="186"/>
      <c r="L174" s="185">
        <f>SUM(L168:L173)</f>
        <v>0</v>
      </c>
      <c r="M174" s="186"/>
      <c r="N174" s="185">
        <f>SUM(N168:N173)</f>
        <v>0</v>
      </c>
      <c r="O174" s="100">
        <f t="shared" si="95"/>
        <v>0</v>
      </c>
      <c r="P174" s="137"/>
      <c r="Q174" s="183">
        <f>SUM(Q168:Q173)</f>
        <v>0</v>
      </c>
      <c r="R174" s="187"/>
      <c r="S174" s="185">
        <f>SUM(S168:S173)</f>
        <v>27991802</v>
      </c>
      <c r="T174" s="137"/>
      <c r="U174" s="139"/>
      <c r="V174" s="185">
        <f>SUM(V168:V173)</f>
        <v>27991802</v>
      </c>
      <c r="W174" s="140"/>
      <c r="X174" s="141">
        <f>SUM(X168:X173)</f>
        <v>0</v>
      </c>
      <c r="Y174" s="125">
        <f t="shared" si="96"/>
        <v>0</v>
      </c>
      <c r="Z174" s="126">
        <f t="shared" si="99"/>
        <v>0</v>
      </c>
      <c r="AA174" s="126">
        <f t="shared" si="98"/>
        <v>0</v>
      </c>
    </row>
    <row r="175" spans="1:27" s="87" customFormat="1" ht="13.5" customHeight="1">
      <c r="A175" s="109"/>
      <c r="B175" s="110">
        <v>15.2</v>
      </c>
      <c r="C175" s="90"/>
      <c r="D175" s="142" t="s">
        <v>193</v>
      </c>
      <c r="E175" s="143"/>
      <c r="F175" s="144"/>
      <c r="G175" s="145"/>
      <c r="H175" s="146"/>
      <c r="I175" s="117"/>
      <c r="J175" s="99"/>
      <c r="K175" s="118"/>
      <c r="L175" s="99"/>
      <c r="M175" s="118"/>
      <c r="N175" s="99"/>
      <c r="O175" s="100">
        <f t="shared" si="95"/>
        <v>0</v>
      </c>
      <c r="P175" s="119"/>
      <c r="Q175" s="120"/>
      <c r="R175" s="103"/>
      <c r="S175" s="104"/>
      <c r="T175" s="119"/>
      <c r="U175" s="121"/>
      <c r="V175" s="122"/>
      <c r="W175" s="147"/>
      <c r="X175" s="124"/>
      <c r="Y175" s="125">
        <f t="shared" si="96"/>
        <v>0</v>
      </c>
      <c r="Z175" s="126">
        <f t="shared" si="99"/>
        <v>0</v>
      </c>
      <c r="AA175" s="126">
        <f t="shared" si="98"/>
        <v>0</v>
      </c>
    </row>
    <row r="176" spans="1:27" s="87" customFormat="1" ht="13.5" customHeight="1">
      <c r="A176" s="109"/>
      <c r="B176" s="110"/>
      <c r="C176" s="111" t="s">
        <v>209</v>
      </c>
      <c r="D176" s="148" t="s">
        <v>199</v>
      </c>
      <c r="E176" s="113" t="s">
        <v>2</v>
      </c>
      <c r="F176" s="114">
        <v>379209</v>
      </c>
      <c r="G176" s="115">
        <v>14</v>
      </c>
      <c r="H176" s="116">
        <f aca="true" t="shared" si="111" ref="H176:H181">F176*G176</f>
        <v>5308926</v>
      </c>
      <c r="I176" s="117">
        <v>14</v>
      </c>
      <c r="J176" s="99">
        <f aca="true" t="shared" si="112" ref="J176:J181">+I176*F176</f>
        <v>5308926</v>
      </c>
      <c r="K176" s="118"/>
      <c r="L176" s="99">
        <f aca="true" t="shared" si="113" ref="L176:L181">+K176*F176</f>
        <v>0</v>
      </c>
      <c r="M176" s="118"/>
      <c r="N176" s="99">
        <f aca="true" t="shared" si="114" ref="N176:N181">+M176*F176</f>
        <v>0</v>
      </c>
      <c r="O176" s="128">
        <v>0</v>
      </c>
      <c r="P176" s="119"/>
      <c r="Q176" s="120">
        <f aca="true" t="shared" si="115" ref="Q176:Q181">+P176*F176</f>
        <v>0</v>
      </c>
      <c r="R176" s="103">
        <f aca="true" t="shared" si="116" ref="R176:R181">+I176-K176-M176-P176</f>
        <v>14</v>
      </c>
      <c r="S176" s="104">
        <f aca="true" t="shared" si="117" ref="S176:S181">+R176*F176</f>
        <v>5308926</v>
      </c>
      <c r="T176" s="119">
        <f aca="true" t="shared" si="118" ref="T176:T181">+K176+M176+O176+R176</f>
        <v>14</v>
      </c>
      <c r="U176" s="121"/>
      <c r="V176" s="122">
        <f aca="true" t="shared" si="119" ref="V176:V181">+T176*F176</f>
        <v>5308926</v>
      </c>
      <c r="W176" s="123">
        <f aca="true" t="shared" si="120" ref="W176:W181">+I176-T176</f>
        <v>0</v>
      </c>
      <c r="X176" s="124">
        <f aca="true" t="shared" si="121" ref="X176:X181">+W176*F176</f>
        <v>0</v>
      </c>
      <c r="Y176" s="125">
        <f t="shared" si="96"/>
        <v>0</v>
      </c>
      <c r="Z176" s="126">
        <f t="shared" si="99"/>
        <v>0</v>
      </c>
      <c r="AA176" s="126">
        <f t="shared" si="98"/>
        <v>0</v>
      </c>
    </row>
    <row r="177" spans="1:27" s="87" customFormat="1" ht="13.5" customHeight="1">
      <c r="A177" s="109"/>
      <c r="B177" s="110"/>
      <c r="C177" s="111" t="s">
        <v>210</v>
      </c>
      <c r="D177" s="148" t="s">
        <v>201</v>
      </c>
      <c r="E177" s="113" t="s">
        <v>2</v>
      </c>
      <c r="F177" s="114">
        <v>266740</v>
      </c>
      <c r="G177" s="115">
        <v>14</v>
      </c>
      <c r="H177" s="116">
        <f t="shared" si="111"/>
        <v>3734360</v>
      </c>
      <c r="I177" s="117">
        <v>14</v>
      </c>
      <c r="J177" s="99">
        <f t="shared" si="112"/>
        <v>3734360</v>
      </c>
      <c r="K177" s="118"/>
      <c r="L177" s="99">
        <f t="shared" si="113"/>
        <v>0</v>
      </c>
      <c r="M177" s="118"/>
      <c r="N177" s="99">
        <f t="shared" si="114"/>
        <v>0</v>
      </c>
      <c r="O177" s="128">
        <v>0</v>
      </c>
      <c r="P177" s="119"/>
      <c r="Q177" s="120">
        <f t="shared" si="115"/>
        <v>0</v>
      </c>
      <c r="R177" s="103">
        <f t="shared" si="116"/>
        <v>14</v>
      </c>
      <c r="S177" s="104">
        <f t="shared" si="117"/>
        <v>3734360</v>
      </c>
      <c r="T177" s="119">
        <f t="shared" si="118"/>
        <v>14</v>
      </c>
      <c r="U177" s="121"/>
      <c r="V177" s="122">
        <f t="shared" si="119"/>
        <v>3734360</v>
      </c>
      <c r="W177" s="123">
        <f t="shared" si="120"/>
        <v>0</v>
      </c>
      <c r="X177" s="124">
        <f t="shared" si="121"/>
        <v>0</v>
      </c>
      <c r="Y177" s="125">
        <f t="shared" si="96"/>
        <v>0</v>
      </c>
      <c r="Z177" s="126">
        <f t="shared" si="99"/>
        <v>0</v>
      </c>
      <c r="AA177" s="126">
        <f t="shared" si="98"/>
        <v>0</v>
      </c>
    </row>
    <row r="178" spans="1:27" s="87" customFormat="1" ht="13.5" customHeight="1">
      <c r="A178" s="109"/>
      <c r="B178" s="110"/>
      <c r="C178" s="111" t="s">
        <v>211</v>
      </c>
      <c r="D178" s="148" t="s">
        <v>203</v>
      </c>
      <c r="E178" s="113" t="s">
        <v>2</v>
      </c>
      <c r="F178" s="114">
        <v>326458</v>
      </c>
      <c r="G178" s="115">
        <v>6</v>
      </c>
      <c r="H178" s="116">
        <f t="shared" si="111"/>
        <v>1958748</v>
      </c>
      <c r="I178" s="117">
        <v>9</v>
      </c>
      <c r="J178" s="99">
        <f t="shared" si="112"/>
        <v>2938122</v>
      </c>
      <c r="K178" s="118"/>
      <c r="L178" s="99">
        <f t="shared" si="113"/>
        <v>0</v>
      </c>
      <c r="M178" s="118"/>
      <c r="N178" s="99">
        <f t="shared" si="114"/>
        <v>0</v>
      </c>
      <c r="O178" s="128">
        <v>0</v>
      </c>
      <c r="P178" s="119"/>
      <c r="Q178" s="120">
        <f t="shared" si="115"/>
        <v>0</v>
      </c>
      <c r="R178" s="103">
        <f t="shared" si="116"/>
        <v>9</v>
      </c>
      <c r="S178" s="104">
        <f t="shared" si="117"/>
        <v>2938122</v>
      </c>
      <c r="T178" s="119">
        <f t="shared" si="118"/>
        <v>9</v>
      </c>
      <c r="U178" s="121"/>
      <c r="V178" s="122">
        <f t="shared" si="119"/>
        <v>2938122</v>
      </c>
      <c r="W178" s="123">
        <f t="shared" si="120"/>
        <v>0</v>
      </c>
      <c r="X178" s="124">
        <f t="shared" si="121"/>
        <v>0</v>
      </c>
      <c r="Y178" s="125">
        <f t="shared" si="96"/>
        <v>0</v>
      </c>
      <c r="Z178" s="126">
        <f t="shared" si="99"/>
        <v>0</v>
      </c>
      <c r="AA178" s="126">
        <f t="shared" si="98"/>
        <v>0</v>
      </c>
    </row>
    <row r="179" spans="1:27" s="87" customFormat="1" ht="13.5" customHeight="1">
      <c r="A179" s="109"/>
      <c r="B179" s="110"/>
      <c r="C179" s="111" t="s">
        <v>212</v>
      </c>
      <c r="D179" s="148" t="s">
        <v>28</v>
      </c>
      <c r="E179" s="113" t="s">
        <v>2</v>
      </c>
      <c r="F179" s="114">
        <v>281670</v>
      </c>
      <c r="G179" s="115">
        <v>24</v>
      </c>
      <c r="H179" s="116">
        <f t="shared" si="111"/>
        <v>6760080</v>
      </c>
      <c r="I179" s="117">
        <v>0</v>
      </c>
      <c r="J179" s="99">
        <f t="shared" si="112"/>
        <v>0</v>
      </c>
      <c r="K179" s="118"/>
      <c r="L179" s="99">
        <f t="shared" si="113"/>
        <v>0</v>
      </c>
      <c r="M179" s="118"/>
      <c r="N179" s="99">
        <f t="shared" si="114"/>
        <v>0</v>
      </c>
      <c r="O179" s="128">
        <v>0</v>
      </c>
      <c r="P179" s="119"/>
      <c r="Q179" s="120">
        <f t="shared" si="115"/>
        <v>0</v>
      </c>
      <c r="R179" s="103">
        <f t="shared" si="116"/>
        <v>0</v>
      </c>
      <c r="S179" s="104">
        <f t="shared" si="117"/>
        <v>0</v>
      </c>
      <c r="T179" s="119">
        <f t="shared" si="118"/>
        <v>0</v>
      </c>
      <c r="U179" s="121"/>
      <c r="V179" s="122">
        <f t="shared" si="119"/>
        <v>0</v>
      </c>
      <c r="W179" s="123">
        <f t="shared" si="120"/>
        <v>0</v>
      </c>
      <c r="X179" s="124">
        <f t="shared" si="121"/>
        <v>0</v>
      </c>
      <c r="Y179" s="125">
        <f t="shared" si="96"/>
        <v>0</v>
      </c>
      <c r="Z179" s="126">
        <f t="shared" si="99"/>
        <v>0</v>
      </c>
      <c r="AA179" s="126">
        <f t="shared" si="98"/>
        <v>0</v>
      </c>
    </row>
    <row r="180" spans="1:27" s="87" customFormat="1" ht="13.5" customHeight="1">
      <c r="A180" s="109"/>
      <c r="B180" s="110"/>
      <c r="C180" s="111" t="s">
        <v>213</v>
      </c>
      <c r="D180" s="148" t="s">
        <v>206</v>
      </c>
      <c r="E180" s="113" t="s">
        <v>2</v>
      </c>
      <c r="F180" s="114">
        <v>912690</v>
      </c>
      <c r="G180" s="115">
        <v>6</v>
      </c>
      <c r="H180" s="116">
        <f t="shared" si="111"/>
        <v>5476140</v>
      </c>
      <c r="I180" s="117">
        <v>6</v>
      </c>
      <c r="J180" s="99">
        <f t="shared" si="112"/>
        <v>5476140</v>
      </c>
      <c r="K180" s="118"/>
      <c r="L180" s="99">
        <f t="shared" si="113"/>
        <v>0</v>
      </c>
      <c r="M180" s="118"/>
      <c r="N180" s="99">
        <f t="shared" si="114"/>
        <v>0</v>
      </c>
      <c r="O180" s="128">
        <v>0</v>
      </c>
      <c r="P180" s="119"/>
      <c r="Q180" s="120">
        <f t="shared" si="115"/>
        <v>0</v>
      </c>
      <c r="R180" s="103">
        <f t="shared" si="116"/>
        <v>6</v>
      </c>
      <c r="S180" s="104">
        <f t="shared" si="117"/>
        <v>5476140</v>
      </c>
      <c r="T180" s="119">
        <f t="shared" si="118"/>
        <v>6</v>
      </c>
      <c r="U180" s="121"/>
      <c r="V180" s="122">
        <f t="shared" si="119"/>
        <v>5476140</v>
      </c>
      <c r="W180" s="123">
        <f t="shared" si="120"/>
        <v>0</v>
      </c>
      <c r="X180" s="124">
        <f t="shared" si="121"/>
        <v>0</v>
      </c>
      <c r="Y180" s="125">
        <f t="shared" si="96"/>
        <v>0</v>
      </c>
      <c r="Z180" s="126">
        <f t="shared" si="99"/>
        <v>0</v>
      </c>
      <c r="AA180" s="126">
        <f t="shared" si="98"/>
        <v>0</v>
      </c>
    </row>
    <row r="181" spans="1:27" s="87" customFormat="1" ht="13.5" customHeight="1">
      <c r="A181" s="109"/>
      <c r="B181" s="110"/>
      <c r="C181" s="111" t="s">
        <v>214</v>
      </c>
      <c r="D181" s="148" t="s">
        <v>208</v>
      </c>
      <c r="E181" s="113" t="s">
        <v>2</v>
      </c>
      <c r="F181" s="114">
        <v>1755709</v>
      </c>
      <c r="G181" s="115">
        <v>5</v>
      </c>
      <c r="H181" s="116">
        <f t="shared" si="111"/>
        <v>8778545</v>
      </c>
      <c r="I181" s="117">
        <v>6</v>
      </c>
      <c r="J181" s="99">
        <f t="shared" si="112"/>
        <v>10534254</v>
      </c>
      <c r="K181" s="118"/>
      <c r="L181" s="99">
        <f t="shared" si="113"/>
        <v>0</v>
      </c>
      <c r="M181" s="118"/>
      <c r="N181" s="99">
        <f t="shared" si="114"/>
        <v>0</v>
      </c>
      <c r="O181" s="128">
        <v>0</v>
      </c>
      <c r="P181" s="119"/>
      <c r="Q181" s="120">
        <f t="shared" si="115"/>
        <v>0</v>
      </c>
      <c r="R181" s="103">
        <f t="shared" si="116"/>
        <v>6</v>
      </c>
      <c r="S181" s="104">
        <f t="shared" si="117"/>
        <v>10534254</v>
      </c>
      <c r="T181" s="119">
        <f t="shared" si="118"/>
        <v>6</v>
      </c>
      <c r="U181" s="121"/>
      <c r="V181" s="122">
        <f t="shared" si="119"/>
        <v>10534254</v>
      </c>
      <c r="W181" s="123">
        <f t="shared" si="120"/>
        <v>0</v>
      </c>
      <c r="X181" s="124">
        <f t="shared" si="121"/>
        <v>0</v>
      </c>
      <c r="Y181" s="125">
        <f t="shared" si="96"/>
        <v>0</v>
      </c>
      <c r="Z181" s="126">
        <f t="shared" si="99"/>
        <v>0</v>
      </c>
      <c r="AA181" s="126">
        <f t="shared" si="98"/>
        <v>0</v>
      </c>
    </row>
    <row r="182" spans="1:27" s="87" customFormat="1" ht="13.5" customHeight="1">
      <c r="A182" s="109"/>
      <c r="B182" s="110"/>
      <c r="C182" s="90"/>
      <c r="D182" s="129" t="s">
        <v>31</v>
      </c>
      <c r="E182" s="130"/>
      <c r="F182" s="131"/>
      <c r="G182" s="132"/>
      <c r="H182" s="133">
        <f>SUM(H176:H181)</f>
        <v>32016799</v>
      </c>
      <c r="I182" s="188"/>
      <c r="J182" s="135">
        <f>SUM(J176:J181)</f>
        <v>27991802</v>
      </c>
      <c r="K182" s="136"/>
      <c r="L182" s="135">
        <f>SUM(L176:L181)</f>
        <v>0</v>
      </c>
      <c r="M182" s="149"/>
      <c r="N182" s="135">
        <f>SUM(N176:N181)</f>
        <v>0</v>
      </c>
      <c r="O182" s="100">
        <f t="shared" si="95"/>
        <v>0</v>
      </c>
      <c r="P182" s="137"/>
      <c r="Q182" s="133">
        <f>SUM(Q176:Q181)</f>
        <v>0</v>
      </c>
      <c r="R182" s="138"/>
      <c r="S182" s="135">
        <f>SUM(S176:S181)</f>
        <v>27991802</v>
      </c>
      <c r="T182" s="137"/>
      <c r="U182" s="139"/>
      <c r="V182" s="135">
        <f>SUM(V176:V181)</f>
        <v>27991802</v>
      </c>
      <c r="W182" s="140"/>
      <c r="X182" s="141">
        <f>SUM(X176:X181)</f>
        <v>0</v>
      </c>
      <c r="Y182" s="125">
        <f t="shared" si="96"/>
        <v>0</v>
      </c>
      <c r="Z182" s="126">
        <f t="shared" si="99"/>
        <v>0</v>
      </c>
      <c r="AA182" s="126">
        <f t="shared" si="98"/>
        <v>0</v>
      </c>
    </row>
    <row r="183" spans="1:27" s="87" customFormat="1" ht="13.5" customHeight="1">
      <c r="A183" s="109">
        <v>16</v>
      </c>
      <c r="B183" s="110"/>
      <c r="C183" s="90"/>
      <c r="D183" s="142" t="s">
        <v>215</v>
      </c>
      <c r="E183" s="143"/>
      <c r="F183" s="144"/>
      <c r="G183" s="145"/>
      <c r="H183" s="146"/>
      <c r="I183" s="117"/>
      <c r="J183" s="99"/>
      <c r="K183" s="118"/>
      <c r="L183" s="99"/>
      <c r="M183" s="118"/>
      <c r="N183" s="99"/>
      <c r="O183" s="100">
        <f t="shared" si="95"/>
        <v>0</v>
      </c>
      <c r="P183" s="119"/>
      <c r="Q183" s="120"/>
      <c r="R183" s="103"/>
      <c r="S183" s="104"/>
      <c r="T183" s="119"/>
      <c r="U183" s="121"/>
      <c r="V183" s="122"/>
      <c r="W183" s="147"/>
      <c r="X183" s="124"/>
      <c r="Y183" s="125">
        <f t="shared" si="96"/>
        <v>0</v>
      </c>
      <c r="Z183" s="126">
        <f t="shared" si="99"/>
        <v>0</v>
      </c>
      <c r="AA183" s="126">
        <f t="shared" si="98"/>
        <v>0</v>
      </c>
    </row>
    <row r="184" spans="1:27" s="87" customFormat="1" ht="13.5" customHeight="1">
      <c r="A184" s="109"/>
      <c r="B184" s="110">
        <v>16.1</v>
      </c>
      <c r="C184" s="90"/>
      <c r="D184" s="142" t="s">
        <v>186</v>
      </c>
      <c r="E184" s="143"/>
      <c r="F184" s="144"/>
      <c r="G184" s="145"/>
      <c r="H184" s="146"/>
      <c r="I184" s="117"/>
      <c r="J184" s="99"/>
      <c r="K184" s="118"/>
      <c r="L184" s="99"/>
      <c r="M184" s="118"/>
      <c r="N184" s="99"/>
      <c r="O184" s="100">
        <f t="shared" si="95"/>
        <v>0</v>
      </c>
      <c r="P184" s="119"/>
      <c r="Q184" s="120"/>
      <c r="R184" s="103"/>
      <c r="S184" s="104"/>
      <c r="T184" s="119"/>
      <c r="U184" s="121"/>
      <c r="V184" s="122"/>
      <c r="W184" s="147"/>
      <c r="X184" s="124"/>
      <c r="Y184" s="125">
        <f t="shared" si="96"/>
        <v>0</v>
      </c>
      <c r="Z184" s="126">
        <f t="shared" si="99"/>
        <v>0</v>
      </c>
      <c r="AA184" s="126">
        <f t="shared" si="98"/>
        <v>0</v>
      </c>
    </row>
    <row r="185" spans="1:27" s="87" customFormat="1" ht="13.5" customHeight="1">
      <c r="A185" s="109"/>
      <c r="B185" s="110"/>
      <c r="C185" s="111" t="s">
        <v>216</v>
      </c>
      <c r="D185" s="148" t="s">
        <v>217</v>
      </c>
      <c r="E185" s="113" t="s">
        <v>2</v>
      </c>
      <c r="F185" s="114">
        <v>565330</v>
      </c>
      <c r="G185" s="115">
        <v>84</v>
      </c>
      <c r="H185" s="116">
        <f>F185*G185</f>
        <v>47487720</v>
      </c>
      <c r="I185" s="117">
        <v>126</v>
      </c>
      <c r="J185" s="99">
        <f>+I185*F185</f>
        <v>71231580</v>
      </c>
      <c r="K185" s="118"/>
      <c r="L185" s="99">
        <f>+K185*F185</f>
        <v>0</v>
      </c>
      <c r="M185" s="118">
        <v>126</v>
      </c>
      <c r="N185" s="99">
        <f>+M185*F185</f>
        <v>71231580</v>
      </c>
      <c r="O185" s="100">
        <f t="shared" si="95"/>
        <v>0</v>
      </c>
      <c r="P185" s="119">
        <f>+I185-K185-M185</f>
        <v>0</v>
      </c>
      <c r="Q185" s="120">
        <f>+P185*F185</f>
        <v>0</v>
      </c>
      <c r="R185" s="103">
        <f>+I185-K185-M185-P185</f>
        <v>0</v>
      </c>
      <c r="S185" s="104">
        <f>+R185*F185</f>
        <v>0</v>
      </c>
      <c r="T185" s="119">
        <f>+K185+M185+O185+R185</f>
        <v>126</v>
      </c>
      <c r="U185" s="121"/>
      <c r="V185" s="122">
        <f>+T185*F185</f>
        <v>71231580</v>
      </c>
      <c r="W185" s="123">
        <f>+I185-T185</f>
        <v>0</v>
      </c>
      <c r="X185" s="124">
        <f>+W185*F185</f>
        <v>0</v>
      </c>
      <c r="Y185" s="125">
        <f t="shared" si="96"/>
        <v>0</v>
      </c>
      <c r="Z185" s="126">
        <f t="shared" si="99"/>
        <v>0</v>
      </c>
      <c r="AA185" s="126">
        <f t="shared" si="98"/>
        <v>0</v>
      </c>
    </row>
    <row r="186" spans="1:27" s="87" customFormat="1" ht="13.5" customHeight="1">
      <c r="A186" s="109"/>
      <c r="B186" s="110"/>
      <c r="C186" s="90"/>
      <c r="D186" s="129" t="s">
        <v>31</v>
      </c>
      <c r="E186" s="130"/>
      <c r="F186" s="131"/>
      <c r="G186" s="132"/>
      <c r="H186" s="133">
        <f>SUM(H185)</f>
        <v>47487720</v>
      </c>
      <c r="I186" s="134"/>
      <c r="J186" s="135">
        <f>SUM(J185)</f>
        <v>71231580</v>
      </c>
      <c r="K186" s="136"/>
      <c r="L186" s="135">
        <f>SUM(L185)</f>
        <v>0</v>
      </c>
      <c r="M186" s="149"/>
      <c r="N186" s="135">
        <f>SUM(N185)</f>
        <v>71231580</v>
      </c>
      <c r="O186" s="100">
        <f t="shared" si="95"/>
        <v>0</v>
      </c>
      <c r="P186" s="137"/>
      <c r="Q186" s="133">
        <f>SUM(Q185)</f>
        <v>0</v>
      </c>
      <c r="R186" s="138"/>
      <c r="S186" s="135">
        <f>SUM(S185)</f>
        <v>0</v>
      </c>
      <c r="T186" s="137"/>
      <c r="U186" s="139"/>
      <c r="V186" s="135">
        <f>SUM(V185)</f>
        <v>71231580</v>
      </c>
      <c r="W186" s="140"/>
      <c r="X186" s="141">
        <f>SUM(X185)</f>
        <v>0</v>
      </c>
      <c r="Y186" s="125">
        <f t="shared" si="96"/>
        <v>0</v>
      </c>
      <c r="Z186" s="126">
        <f t="shared" si="99"/>
        <v>0</v>
      </c>
      <c r="AA186" s="126">
        <f t="shared" si="98"/>
        <v>0</v>
      </c>
    </row>
    <row r="187" spans="1:27" s="87" customFormat="1" ht="13.5" customHeight="1">
      <c r="A187" s="109"/>
      <c r="B187" s="110">
        <v>16.2</v>
      </c>
      <c r="C187" s="90"/>
      <c r="D187" s="142" t="s">
        <v>193</v>
      </c>
      <c r="E187" s="143"/>
      <c r="F187" s="144"/>
      <c r="G187" s="145"/>
      <c r="H187" s="146"/>
      <c r="I187" s="182"/>
      <c r="J187" s="99"/>
      <c r="K187" s="118"/>
      <c r="L187" s="99"/>
      <c r="M187" s="118"/>
      <c r="N187" s="99"/>
      <c r="O187" s="100">
        <f t="shared" si="95"/>
        <v>0</v>
      </c>
      <c r="P187" s="119"/>
      <c r="Q187" s="120"/>
      <c r="R187" s="103"/>
      <c r="S187" s="104"/>
      <c r="T187" s="119"/>
      <c r="U187" s="121"/>
      <c r="V187" s="122"/>
      <c r="W187" s="147"/>
      <c r="X187" s="124"/>
      <c r="Y187" s="125">
        <f t="shared" si="96"/>
        <v>0</v>
      </c>
      <c r="Z187" s="126">
        <f t="shared" si="99"/>
        <v>0</v>
      </c>
      <c r="AA187" s="126">
        <f t="shared" si="98"/>
        <v>0</v>
      </c>
    </row>
    <row r="188" spans="1:27" s="87" customFormat="1" ht="13.5" customHeight="1">
      <c r="A188" s="109"/>
      <c r="B188" s="110"/>
      <c r="C188" s="111" t="s">
        <v>218</v>
      </c>
      <c r="D188" s="148" t="s">
        <v>217</v>
      </c>
      <c r="E188" s="113" t="s">
        <v>2</v>
      </c>
      <c r="F188" s="114">
        <v>565330</v>
      </c>
      <c r="G188" s="115">
        <v>84</v>
      </c>
      <c r="H188" s="116">
        <f>F188*G188</f>
        <v>47487720</v>
      </c>
      <c r="I188" s="103">
        <v>126</v>
      </c>
      <c r="J188" s="99">
        <f>+I188*F188</f>
        <v>71231580</v>
      </c>
      <c r="K188" s="118"/>
      <c r="L188" s="99">
        <f>+K188*F188</f>
        <v>0</v>
      </c>
      <c r="M188" s="118">
        <v>126</v>
      </c>
      <c r="N188" s="99">
        <f>+M188*F188</f>
        <v>71231580</v>
      </c>
      <c r="O188" s="100">
        <f t="shared" si="95"/>
        <v>0</v>
      </c>
      <c r="P188" s="119">
        <f>+I188-K188-M188</f>
        <v>0</v>
      </c>
      <c r="Q188" s="120">
        <f>+P188*F188</f>
        <v>0</v>
      </c>
      <c r="R188" s="103">
        <f>+I188-K188-M188-P188</f>
        <v>0</v>
      </c>
      <c r="S188" s="104">
        <f>+R188*F188</f>
        <v>0</v>
      </c>
      <c r="T188" s="119">
        <f>+K188+M188+O188+R188</f>
        <v>126</v>
      </c>
      <c r="U188" s="121"/>
      <c r="V188" s="122">
        <f>+T188*F188</f>
        <v>71231580</v>
      </c>
      <c r="W188" s="123">
        <f>+I188-T188</f>
        <v>0</v>
      </c>
      <c r="X188" s="124">
        <f>+W188*F188</f>
        <v>0</v>
      </c>
      <c r="Y188" s="125">
        <f t="shared" si="96"/>
        <v>0</v>
      </c>
      <c r="Z188" s="126">
        <f t="shared" si="99"/>
        <v>0</v>
      </c>
      <c r="AA188" s="126">
        <f t="shared" si="98"/>
        <v>0</v>
      </c>
    </row>
    <row r="189" spans="1:27" s="87" customFormat="1" ht="13.5" customHeight="1">
      <c r="A189" s="109"/>
      <c r="B189" s="110"/>
      <c r="C189" s="90"/>
      <c r="D189" s="129" t="s">
        <v>31</v>
      </c>
      <c r="E189" s="130"/>
      <c r="F189" s="131"/>
      <c r="G189" s="132"/>
      <c r="H189" s="133">
        <f>SUM(H188)</f>
        <v>47487720</v>
      </c>
      <c r="I189" s="134"/>
      <c r="J189" s="135">
        <f>SUM(J188)</f>
        <v>71231580</v>
      </c>
      <c r="K189" s="136"/>
      <c r="L189" s="133">
        <f>SUM(L188)</f>
        <v>0</v>
      </c>
      <c r="M189" s="136"/>
      <c r="N189" s="133">
        <f>SUM(N188)</f>
        <v>71231580</v>
      </c>
      <c r="O189" s="100">
        <f t="shared" si="95"/>
        <v>0</v>
      </c>
      <c r="P189" s="137"/>
      <c r="Q189" s="133">
        <f>SUM(Q188)</f>
        <v>0</v>
      </c>
      <c r="R189" s="138"/>
      <c r="S189" s="135">
        <f>SUM(S188)</f>
        <v>0</v>
      </c>
      <c r="T189" s="137"/>
      <c r="U189" s="139"/>
      <c r="V189" s="135">
        <f>SUM(V188)</f>
        <v>71231580</v>
      </c>
      <c r="W189" s="140"/>
      <c r="X189" s="141">
        <f>SUM(X188)</f>
        <v>0</v>
      </c>
      <c r="Y189" s="125">
        <f t="shared" si="96"/>
        <v>0</v>
      </c>
      <c r="Z189" s="126">
        <f t="shared" si="99"/>
        <v>0</v>
      </c>
      <c r="AA189" s="126">
        <f t="shared" si="98"/>
        <v>0</v>
      </c>
    </row>
    <row r="190" spans="1:27" s="87" customFormat="1" ht="13.5" customHeight="1">
      <c r="A190" s="109"/>
      <c r="B190" s="110"/>
      <c r="C190" s="90"/>
      <c r="D190" s="189" t="s">
        <v>219</v>
      </c>
      <c r="E190" s="143"/>
      <c r="F190" s="144"/>
      <c r="G190" s="145"/>
      <c r="H190" s="133">
        <f>+H139+H146+H152+H159+H165+H174+H182+H186+H189</f>
        <v>568508106.8</v>
      </c>
      <c r="I190" s="169"/>
      <c r="J190" s="135">
        <f>+J139+J146+J152+J159+J165+J174+J182+J186+J189</f>
        <v>560869768</v>
      </c>
      <c r="K190" s="136"/>
      <c r="L190" s="133">
        <f>+L139+L146+L152+L159+L165+L174+L182+L186+L189</f>
        <v>266899980</v>
      </c>
      <c r="M190" s="136"/>
      <c r="N190" s="133">
        <f>+N139+N146+N152+N159+N165+N174+N182+N186+N189</f>
        <v>238312628</v>
      </c>
      <c r="O190" s="100">
        <f t="shared" si="95"/>
        <v>0</v>
      </c>
      <c r="P190" s="119"/>
      <c r="Q190" s="133">
        <f>+Q139+Q146+Q152+Q159+Q165+Q174+Q182+Q186+Q189</f>
        <v>-13305164</v>
      </c>
      <c r="R190" s="138"/>
      <c r="S190" s="135">
        <f>+S139+S146+S152+S159+S165+S174+S182+S186+S189</f>
        <v>68962324</v>
      </c>
      <c r="T190" s="119"/>
      <c r="U190" s="121"/>
      <c r="V190" s="135">
        <f>+V139+V146+V152+V159+V165+V174+V182+V186+V189</f>
        <v>560869768</v>
      </c>
      <c r="W190" s="147"/>
      <c r="X190" s="141">
        <f>+X139+X146+X152+X159+X165+X174+X182+X186+X189</f>
        <v>0</v>
      </c>
      <c r="Y190" s="125">
        <f t="shared" si="96"/>
        <v>0</v>
      </c>
      <c r="Z190" s="126">
        <f t="shared" si="99"/>
        <v>0</v>
      </c>
      <c r="AA190" s="126">
        <f t="shared" si="98"/>
        <v>-13305164</v>
      </c>
    </row>
    <row r="191" spans="1:27" s="87" customFormat="1" ht="13.5" customHeight="1">
      <c r="A191" s="109">
        <v>17</v>
      </c>
      <c r="B191" s="110"/>
      <c r="C191" s="90"/>
      <c r="D191" s="142" t="s">
        <v>220</v>
      </c>
      <c r="E191" s="143"/>
      <c r="F191" s="144"/>
      <c r="G191" s="145"/>
      <c r="H191" s="146"/>
      <c r="I191" s="117"/>
      <c r="J191" s="99"/>
      <c r="K191" s="118"/>
      <c r="L191" s="99"/>
      <c r="M191" s="118"/>
      <c r="N191" s="99"/>
      <c r="O191" s="100">
        <f t="shared" si="95"/>
        <v>0</v>
      </c>
      <c r="P191" s="119"/>
      <c r="Q191" s="120"/>
      <c r="R191" s="103"/>
      <c r="S191" s="104"/>
      <c r="T191" s="119"/>
      <c r="U191" s="121"/>
      <c r="V191" s="122"/>
      <c r="W191" s="147"/>
      <c r="X191" s="124"/>
      <c r="Y191" s="125">
        <f t="shared" si="96"/>
        <v>0</v>
      </c>
      <c r="Z191" s="126">
        <f t="shared" si="99"/>
        <v>0</v>
      </c>
      <c r="AA191" s="126">
        <f t="shared" si="98"/>
        <v>0</v>
      </c>
    </row>
    <row r="192" spans="1:27" s="181" customFormat="1" ht="13.5" customHeight="1">
      <c r="A192" s="170"/>
      <c r="B192" s="171"/>
      <c r="C192" s="172">
        <v>17.1</v>
      </c>
      <c r="D192" s="173" t="s">
        <v>124</v>
      </c>
      <c r="E192" s="174" t="s">
        <v>2</v>
      </c>
      <c r="F192" s="114">
        <v>954493</v>
      </c>
      <c r="G192" s="115">
        <v>2</v>
      </c>
      <c r="H192" s="116">
        <f>F192*G192</f>
        <v>1908986</v>
      </c>
      <c r="I192" s="190">
        <v>0</v>
      </c>
      <c r="J192" s="176">
        <f aca="true" t="shared" si="122" ref="J192:J201">+I192*F192</f>
        <v>0</v>
      </c>
      <c r="K192" s="167"/>
      <c r="L192" s="99">
        <f aca="true" t="shared" si="123" ref="L192:L201">+K192*F192</f>
        <v>0</v>
      </c>
      <c r="M192" s="167"/>
      <c r="N192" s="99">
        <f aca="true" t="shared" si="124" ref="N192:N201">+M192*F192</f>
        <v>0</v>
      </c>
      <c r="O192" s="100">
        <f t="shared" si="95"/>
        <v>0</v>
      </c>
      <c r="P192" s="119">
        <f>+I192-K192-M192</f>
        <v>0</v>
      </c>
      <c r="Q192" s="120">
        <f aca="true" t="shared" si="125" ref="Q192:Q201">+P192*F192</f>
        <v>0</v>
      </c>
      <c r="R192" s="103">
        <f aca="true" t="shared" si="126" ref="R192:R201">+I192-K192-M192-P192</f>
        <v>0</v>
      </c>
      <c r="S192" s="104">
        <f aca="true" t="shared" si="127" ref="S192:S201">+R192*F192</f>
        <v>0</v>
      </c>
      <c r="T192" s="119">
        <f aca="true" t="shared" si="128" ref="T192:T201">+K192+M192+O192+R192</f>
        <v>0</v>
      </c>
      <c r="U192" s="178"/>
      <c r="V192" s="122">
        <f aca="true" t="shared" si="129" ref="V192:V200">+T192*F192</f>
        <v>0</v>
      </c>
      <c r="W192" s="123">
        <f aca="true" t="shared" si="130" ref="W192:W200">+I192-T192</f>
        <v>0</v>
      </c>
      <c r="X192" s="180">
        <f aca="true" t="shared" si="131" ref="X192:X200">+W192*F192</f>
        <v>0</v>
      </c>
      <c r="Y192" s="125">
        <f t="shared" si="96"/>
        <v>0</v>
      </c>
      <c r="Z192" s="126">
        <f t="shared" si="99"/>
        <v>0</v>
      </c>
      <c r="AA192" s="126">
        <f t="shared" si="98"/>
        <v>0</v>
      </c>
    </row>
    <row r="193" spans="1:27" s="87" customFormat="1" ht="13.5" customHeight="1">
      <c r="A193" s="109"/>
      <c r="B193" s="110"/>
      <c r="C193" s="111">
        <v>17.2</v>
      </c>
      <c r="D193" s="148" t="s">
        <v>221</v>
      </c>
      <c r="E193" s="113"/>
      <c r="F193" s="114"/>
      <c r="G193" s="115"/>
      <c r="H193" s="116"/>
      <c r="I193" s="182"/>
      <c r="J193" s="176"/>
      <c r="K193" s="167"/>
      <c r="L193" s="99">
        <f t="shared" si="123"/>
        <v>0</v>
      </c>
      <c r="M193" s="167"/>
      <c r="N193" s="99">
        <f t="shared" si="124"/>
        <v>0</v>
      </c>
      <c r="O193" s="100">
        <f t="shared" si="95"/>
        <v>0</v>
      </c>
      <c r="P193" s="119">
        <f>+I193-K193-M193</f>
        <v>0</v>
      </c>
      <c r="Q193" s="120">
        <f t="shared" si="125"/>
        <v>0</v>
      </c>
      <c r="R193" s="103">
        <f t="shared" si="126"/>
        <v>0</v>
      </c>
      <c r="S193" s="104">
        <f t="shared" si="127"/>
        <v>0</v>
      </c>
      <c r="T193" s="119">
        <f t="shared" si="128"/>
        <v>0</v>
      </c>
      <c r="U193" s="121"/>
      <c r="V193" s="122"/>
      <c r="W193" s="123"/>
      <c r="X193" s="124"/>
      <c r="Y193" s="125">
        <f t="shared" si="96"/>
        <v>0</v>
      </c>
      <c r="Z193" s="126">
        <f t="shared" si="99"/>
        <v>0</v>
      </c>
      <c r="AA193" s="126">
        <f t="shared" si="98"/>
        <v>0</v>
      </c>
    </row>
    <row r="194" spans="1:27" s="181" customFormat="1" ht="30" customHeight="1">
      <c r="A194" s="170"/>
      <c r="B194" s="171"/>
      <c r="C194" s="172" t="s">
        <v>222</v>
      </c>
      <c r="D194" s="191" t="s">
        <v>304</v>
      </c>
      <c r="E194" s="174" t="s">
        <v>2</v>
      </c>
      <c r="F194" s="114">
        <v>1720874</v>
      </c>
      <c r="G194" s="115">
        <v>2</v>
      </c>
      <c r="H194" s="116">
        <f aca="true" t="shared" si="132" ref="H194:H200">F194*G194</f>
        <v>3441748</v>
      </c>
      <c r="I194" s="190">
        <v>0</v>
      </c>
      <c r="J194" s="176">
        <f t="shared" si="122"/>
        <v>0</v>
      </c>
      <c r="K194" s="167"/>
      <c r="L194" s="176">
        <f t="shared" si="123"/>
        <v>0</v>
      </c>
      <c r="M194" s="167"/>
      <c r="N194" s="176">
        <f t="shared" si="124"/>
        <v>0</v>
      </c>
      <c r="O194" s="192">
        <f t="shared" si="95"/>
        <v>0</v>
      </c>
      <c r="P194" s="193">
        <f>+I194-K194-M194</f>
        <v>0</v>
      </c>
      <c r="Q194" s="177">
        <f t="shared" si="125"/>
        <v>0</v>
      </c>
      <c r="R194" s="190">
        <f t="shared" si="126"/>
        <v>0</v>
      </c>
      <c r="S194" s="194">
        <f t="shared" si="127"/>
        <v>0</v>
      </c>
      <c r="T194" s="193">
        <f t="shared" si="128"/>
        <v>0</v>
      </c>
      <c r="U194" s="178"/>
      <c r="V194" s="179">
        <f t="shared" si="129"/>
        <v>0</v>
      </c>
      <c r="W194" s="123">
        <f t="shared" si="130"/>
        <v>0</v>
      </c>
      <c r="X194" s="180">
        <f t="shared" si="131"/>
        <v>0</v>
      </c>
      <c r="Y194" s="125">
        <f t="shared" si="96"/>
        <v>0</v>
      </c>
      <c r="Z194" s="195">
        <f t="shared" si="99"/>
        <v>0</v>
      </c>
      <c r="AA194" s="195">
        <f t="shared" si="98"/>
        <v>0</v>
      </c>
    </row>
    <row r="195" spans="1:27" s="181" customFormat="1" ht="13.5" customHeight="1">
      <c r="A195" s="170"/>
      <c r="B195" s="171"/>
      <c r="C195" s="172" t="s">
        <v>223</v>
      </c>
      <c r="D195" s="173" t="s">
        <v>89</v>
      </c>
      <c r="E195" s="174" t="s">
        <v>20</v>
      </c>
      <c r="F195" s="114">
        <v>405087</v>
      </c>
      <c r="G195" s="115">
        <v>12.18</v>
      </c>
      <c r="H195" s="116">
        <f t="shared" si="132"/>
        <v>4933959.66</v>
      </c>
      <c r="I195" s="175">
        <v>0</v>
      </c>
      <c r="J195" s="176">
        <f t="shared" si="122"/>
        <v>0</v>
      </c>
      <c r="K195" s="167"/>
      <c r="L195" s="99">
        <f t="shared" si="123"/>
        <v>0</v>
      </c>
      <c r="M195" s="167"/>
      <c r="N195" s="99">
        <f t="shared" si="124"/>
        <v>0</v>
      </c>
      <c r="O195" s="100">
        <f t="shared" si="95"/>
        <v>0</v>
      </c>
      <c r="P195" s="119">
        <f>+I195-K195-M195</f>
        <v>0</v>
      </c>
      <c r="Q195" s="120">
        <f t="shared" si="125"/>
        <v>0</v>
      </c>
      <c r="R195" s="103">
        <f t="shared" si="126"/>
        <v>0</v>
      </c>
      <c r="S195" s="104">
        <f t="shared" si="127"/>
        <v>0</v>
      </c>
      <c r="T195" s="119">
        <f t="shared" si="128"/>
        <v>0</v>
      </c>
      <c r="U195" s="178"/>
      <c r="V195" s="122">
        <f t="shared" si="129"/>
        <v>0</v>
      </c>
      <c r="W195" s="123">
        <f t="shared" si="130"/>
        <v>0</v>
      </c>
      <c r="X195" s="180">
        <f t="shared" si="131"/>
        <v>0</v>
      </c>
      <c r="Y195" s="125">
        <f t="shared" si="96"/>
        <v>0</v>
      </c>
      <c r="Z195" s="126">
        <f t="shared" si="99"/>
        <v>0</v>
      </c>
      <c r="AA195" s="126">
        <f t="shared" si="98"/>
        <v>0</v>
      </c>
    </row>
    <row r="196" spans="1:27" s="87" customFormat="1" ht="13.5" customHeight="1">
      <c r="A196" s="109"/>
      <c r="B196" s="110"/>
      <c r="C196" s="111">
        <v>17.3</v>
      </c>
      <c r="D196" s="148" t="s">
        <v>224</v>
      </c>
      <c r="E196" s="113" t="s">
        <v>20</v>
      </c>
      <c r="F196" s="114">
        <v>428974</v>
      </c>
      <c r="G196" s="115">
        <v>28.4</v>
      </c>
      <c r="H196" s="116">
        <f t="shared" si="132"/>
        <v>12182861.6</v>
      </c>
      <c r="I196" s="117">
        <v>52.91</v>
      </c>
      <c r="J196" s="176">
        <f t="shared" si="122"/>
        <v>22697014.34</v>
      </c>
      <c r="K196" s="167"/>
      <c r="L196" s="99">
        <f t="shared" si="123"/>
        <v>0</v>
      </c>
      <c r="M196" s="167">
        <v>51</v>
      </c>
      <c r="N196" s="99">
        <f t="shared" si="124"/>
        <v>21877674</v>
      </c>
      <c r="O196" s="128"/>
      <c r="P196" s="119"/>
      <c r="Q196" s="120">
        <f t="shared" si="125"/>
        <v>0</v>
      </c>
      <c r="R196" s="103">
        <f t="shared" si="126"/>
        <v>1.9099999999999966</v>
      </c>
      <c r="S196" s="104">
        <f t="shared" si="127"/>
        <v>819340.3399999986</v>
      </c>
      <c r="T196" s="119">
        <f t="shared" si="128"/>
        <v>52.91</v>
      </c>
      <c r="U196" s="121"/>
      <c r="V196" s="122">
        <f t="shared" si="129"/>
        <v>22697014.34</v>
      </c>
      <c r="W196" s="123">
        <f t="shared" si="130"/>
        <v>0</v>
      </c>
      <c r="X196" s="124">
        <f t="shared" si="131"/>
        <v>0</v>
      </c>
      <c r="Y196" s="125">
        <f t="shared" si="96"/>
        <v>0</v>
      </c>
      <c r="Z196" s="126">
        <f t="shared" si="99"/>
        <v>0</v>
      </c>
      <c r="AA196" s="126">
        <f t="shared" si="98"/>
        <v>0</v>
      </c>
    </row>
    <row r="197" spans="1:27" s="87" customFormat="1" ht="13.5" customHeight="1">
      <c r="A197" s="109"/>
      <c r="B197" s="110"/>
      <c r="C197" s="111">
        <v>17.4</v>
      </c>
      <c r="D197" s="148" t="s">
        <v>225</v>
      </c>
      <c r="E197" s="113" t="s">
        <v>2</v>
      </c>
      <c r="F197" s="114">
        <v>1846282</v>
      </c>
      <c r="G197" s="115">
        <v>2</v>
      </c>
      <c r="H197" s="116">
        <f t="shared" si="132"/>
        <v>3692564</v>
      </c>
      <c r="I197" s="117">
        <v>3</v>
      </c>
      <c r="J197" s="176">
        <f t="shared" si="122"/>
        <v>5538846</v>
      </c>
      <c r="K197" s="167"/>
      <c r="L197" s="99">
        <f t="shared" si="123"/>
        <v>0</v>
      </c>
      <c r="M197" s="167"/>
      <c r="N197" s="99">
        <f t="shared" si="124"/>
        <v>0</v>
      </c>
      <c r="O197" s="128"/>
      <c r="P197" s="119"/>
      <c r="Q197" s="120">
        <f t="shared" si="125"/>
        <v>0</v>
      </c>
      <c r="R197" s="103">
        <f t="shared" si="126"/>
        <v>3</v>
      </c>
      <c r="S197" s="104">
        <f t="shared" si="127"/>
        <v>5538846</v>
      </c>
      <c r="T197" s="119">
        <f t="shared" si="128"/>
        <v>3</v>
      </c>
      <c r="U197" s="121"/>
      <c r="V197" s="122">
        <f t="shared" si="129"/>
        <v>5538846</v>
      </c>
      <c r="W197" s="123">
        <f t="shared" si="130"/>
        <v>0</v>
      </c>
      <c r="X197" s="124">
        <f t="shared" si="131"/>
        <v>0</v>
      </c>
      <c r="Y197" s="125">
        <f t="shared" si="96"/>
        <v>0</v>
      </c>
      <c r="Z197" s="126">
        <f t="shared" si="99"/>
        <v>0</v>
      </c>
      <c r="AA197" s="126">
        <f t="shared" si="98"/>
        <v>0</v>
      </c>
    </row>
    <row r="198" spans="1:27" s="87" customFormat="1" ht="13.5" customHeight="1">
      <c r="A198" s="109"/>
      <c r="B198" s="110"/>
      <c r="C198" s="111">
        <v>17.5</v>
      </c>
      <c r="D198" s="148" t="s">
        <v>28</v>
      </c>
      <c r="E198" s="113" t="s">
        <v>2</v>
      </c>
      <c r="F198" s="114">
        <v>281670</v>
      </c>
      <c r="G198" s="115">
        <v>4</v>
      </c>
      <c r="H198" s="116">
        <f t="shared" si="132"/>
        <v>1126680</v>
      </c>
      <c r="I198" s="117">
        <v>10</v>
      </c>
      <c r="J198" s="176">
        <f t="shared" si="122"/>
        <v>2816700</v>
      </c>
      <c r="K198" s="167"/>
      <c r="L198" s="99">
        <f t="shared" si="123"/>
        <v>0</v>
      </c>
      <c r="M198" s="167">
        <v>10</v>
      </c>
      <c r="N198" s="99">
        <f t="shared" si="124"/>
        <v>2816700</v>
      </c>
      <c r="O198" s="128"/>
      <c r="P198" s="119"/>
      <c r="Q198" s="120">
        <f t="shared" si="125"/>
        <v>0</v>
      </c>
      <c r="R198" s="103">
        <f t="shared" si="126"/>
        <v>0</v>
      </c>
      <c r="S198" s="104">
        <f t="shared" si="127"/>
        <v>0</v>
      </c>
      <c r="T198" s="119">
        <f t="shared" si="128"/>
        <v>10</v>
      </c>
      <c r="U198" s="121"/>
      <c r="V198" s="122">
        <f t="shared" si="129"/>
        <v>2816700</v>
      </c>
      <c r="W198" s="123">
        <f t="shared" si="130"/>
        <v>0</v>
      </c>
      <c r="X198" s="124">
        <f t="shared" si="131"/>
        <v>0</v>
      </c>
      <c r="Y198" s="125">
        <f t="shared" si="96"/>
        <v>0</v>
      </c>
      <c r="Z198" s="126">
        <f t="shared" si="99"/>
        <v>0</v>
      </c>
      <c r="AA198" s="126">
        <f t="shared" si="98"/>
        <v>0</v>
      </c>
    </row>
    <row r="199" spans="1:27" s="87" customFormat="1" ht="13.5" customHeight="1">
      <c r="A199" s="109"/>
      <c r="B199" s="110"/>
      <c r="C199" s="111">
        <v>17.6</v>
      </c>
      <c r="D199" s="148" t="s">
        <v>94</v>
      </c>
      <c r="E199" s="113" t="s">
        <v>2</v>
      </c>
      <c r="F199" s="114">
        <v>211004</v>
      </c>
      <c r="G199" s="115">
        <v>8</v>
      </c>
      <c r="H199" s="116">
        <f t="shared" si="132"/>
        <v>1688032</v>
      </c>
      <c r="I199" s="117">
        <v>12</v>
      </c>
      <c r="J199" s="176">
        <f t="shared" si="122"/>
        <v>2532048</v>
      </c>
      <c r="K199" s="167"/>
      <c r="L199" s="99">
        <f t="shared" si="123"/>
        <v>0</v>
      </c>
      <c r="M199" s="167"/>
      <c r="N199" s="99">
        <f t="shared" si="124"/>
        <v>0</v>
      </c>
      <c r="O199" s="128"/>
      <c r="P199" s="119"/>
      <c r="Q199" s="120">
        <f t="shared" si="125"/>
        <v>0</v>
      </c>
      <c r="R199" s="103">
        <f t="shared" si="126"/>
        <v>12</v>
      </c>
      <c r="S199" s="104">
        <f t="shared" si="127"/>
        <v>2532048</v>
      </c>
      <c r="T199" s="119">
        <f t="shared" si="128"/>
        <v>12</v>
      </c>
      <c r="U199" s="121"/>
      <c r="V199" s="122">
        <f t="shared" si="129"/>
        <v>2532048</v>
      </c>
      <c r="W199" s="123">
        <f t="shared" si="130"/>
        <v>0</v>
      </c>
      <c r="X199" s="124">
        <f t="shared" si="131"/>
        <v>0</v>
      </c>
      <c r="Y199" s="125">
        <f t="shared" si="96"/>
        <v>0</v>
      </c>
      <c r="Z199" s="126">
        <f t="shared" si="99"/>
        <v>0</v>
      </c>
      <c r="AA199" s="126">
        <f t="shared" si="98"/>
        <v>0</v>
      </c>
    </row>
    <row r="200" spans="1:27" s="87" customFormat="1" ht="13.5" customHeight="1">
      <c r="A200" s="109"/>
      <c r="B200" s="110"/>
      <c r="C200" s="111">
        <v>17.7</v>
      </c>
      <c r="D200" s="148" t="s">
        <v>226</v>
      </c>
      <c r="E200" s="113" t="s">
        <v>2</v>
      </c>
      <c r="F200" s="114">
        <v>295604</v>
      </c>
      <c r="G200" s="115">
        <v>20</v>
      </c>
      <c r="H200" s="116">
        <f t="shared" si="132"/>
        <v>5912080</v>
      </c>
      <c r="I200" s="117">
        <v>0</v>
      </c>
      <c r="J200" s="176">
        <f t="shared" si="122"/>
        <v>0</v>
      </c>
      <c r="K200" s="167"/>
      <c r="L200" s="99">
        <f t="shared" si="123"/>
        <v>0</v>
      </c>
      <c r="M200" s="167"/>
      <c r="N200" s="99">
        <f t="shared" si="124"/>
        <v>0</v>
      </c>
      <c r="O200" s="128"/>
      <c r="P200" s="119"/>
      <c r="Q200" s="120">
        <f t="shared" si="125"/>
        <v>0</v>
      </c>
      <c r="R200" s="103">
        <f t="shared" si="126"/>
        <v>0</v>
      </c>
      <c r="S200" s="104">
        <f t="shared" si="127"/>
        <v>0</v>
      </c>
      <c r="T200" s="119">
        <f t="shared" si="128"/>
        <v>0</v>
      </c>
      <c r="U200" s="121"/>
      <c r="V200" s="122">
        <f t="shared" si="129"/>
        <v>0</v>
      </c>
      <c r="W200" s="123">
        <f t="shared" si="130"/>
        <v>0</v>
      </c>
      <c r="X200" s="124">
        <f t="shared" si="131"/>
        <v>0</v>
      </c>
      <c r="Y200" s="125">
        <f t="shared" si="96"/>
        <v>0</v>
      </c>
      <c r="Z200" s="126">
        <f t="shared" si="99"/>
        <v>0</v>
      </c>
      <c r="AA200" s="126">
        <f t="shared" si="98"/>
        <v>0</v>
      </c>
    </row>
    <row r="201" spans="1:27" s="87" customFormat="1" ht="13.5" customHeight="1">
      <c r="A201" s="109"/>
      <c r="B201" s="110"/>
      <c r="C201" s="111"/>
      <c r="D201" s="148" t="s">
        <v>226</v>
      </c>
      <c r="E201" s="113" t="s">
        <v>2</v>
      </c>
      <c r="F201" s="114">
        <v>281670</v>
      </c>
      <c r="G201" s="115"/>
      <c r="H201" s="116"/>
      <c r="I201" s="117">
        <v>30</v>
      </c>
      <c r="J201" s="176">
        <f t="shared" si="122"/>
        <v>8450100</v>
      </c>
      <c r="K201" s="167"/>
      <c r="L201" s="99">
        <f t="shared" si="123"/>
        <v>0</v>
      </c>
      <c r="M201" s="167"/>
      <c r="N201" s="99">
        <f t="shared" si="124"/>
        <v>0</v>
      </c>
      <c r="O201" s="128"/>
      <c r="P201" s="119"/>
      <c r="Q201" s="120">
        <f t="shared" si="125"/>
        <v>0</v>
      </c>
      <c r="R201" s="103">
        <f t="shared" si="126"/>
        <v>30</v>
      </c>
      <c r="S201" s="104">
        <f t="shared" si="127"/>
        <v>8450100</v>
      </c>
      <c r="T201" s="119">
        <f t="shared" si="128"/>
        <v>30</v>
      </c>
      <c r="U201" s="121"/>
      <c r="V201" s="122">
        <f>+T201*F201</f>
        <v>8450100</v>
      </c>
      <c r="W201" s="123">
        <f>+I201-T201</f>
        <v>0</v>
      </c>
      <c r="X201" s="124">
        <f>+W201*F201</f>
        <v>0</v>
      </c>
      <c r="Y201" s="125">
        <f t="shared" si="96"/>
        <v>0</v>
      </c>
      <c r="Z201" s="126">
        <f t="shared" si="99"/>
        <v>0</v>
      </c>
      <c r="AA201" s="126">
        <f t="shared" si="98"/>
        <v>0</v>
      </c>
    </row>
    <row r="202" spans="1:27" s="87" customFormat="1" ht="13.5" customHeight="1">
      <c r="A202" s="109"/>
      <c r="B202" s="110"/>
      <c r="C202" s="90"/>
      <c r="D202" s="129" t="s">
        <v>31</v>
      </c>
      <c r="E202" s="130"/>
      <c r="F202" s="131"/>
      <c r="G202" s="132"/>
      <c r="H202" s="151">
        <f>SUM(H192:H201)</f>
        <v>34886911.26</v>
      </c>
      <c r="I202" s="168"/>
      <c r="J202" s="152">
        <f>SUM(J192:J201)</f>
        <v>42034708.34</v>
      </c>
      <c r="K202" s="153"/>
      <c r="L202" s="152">
        <f>SUM(L192:L201)</f>
        <v>0</v>
      </c>
      <c r="M202" s="153"/>
      <c r="N202" s="152">
        <f>SUM(N192:N201)</f>
        <v>24694374</v>
      </c>
      <c r="O202" s="100">
        <f t="shared" si="95"/>
        <v>0</v>
      </c>
      <c r="P202" s="137"/>
      <c r="Q202" s="151">
        <f>SUM(Q192:Q201)</f>
        <v>0</v>
      </c>
      <c r="R202" s="154"/>
      <c r="S202" s="152">
        <f>SUM(S192:S201)</f>
        <v>17340334.34</v>
      </c>
      <c r="T202" s="137"/>
      <c r="U202" s="139"/>
      <c r="V202" s="151">
        <f>SUM(V192:V201)</f>
        <v>42034708.34</v>
      </c>
      <c r="W202" s="140"/>
      <c r="X202" s="141">
        <f>SUM(X192:X201)</f>
        <v>0</v>
      </c>
      <c r="Y202" s="125">
        <f t="shared" si="96"/>
        <v>0</v>
      </c>
      <c r="Z202" s="126">
        <f t="shared" si="99"/>
        <v>0</v>
      </c>
      <c r="AA202" s="126">
        <f t="shared" si="98"/>
        <v>0</v>
      </c>
    </row>
    <row r="203" spans="1:27" s="87" customFormat="1" ht="13.5" customHeight="1">
      <c r="A203" s="109">
        <v>18</v>
      </c>
      <c r="B203" s="110"/>
      <c r="C203" s="90"/>
      <c r="D203" s="142" t="s">
        <v>227</v>
      </c>
      <c r="E203" s="143"/>
      <c r="F203" s="144"/>
      <c r="G203" s="145"/>
      <c r="H203" s="146"/>
      <c r="I203" s="182"/>
      <c r="J203" s="99"/>
      <c r="K203" s="118"/>
      <c r="L203" s="99"/>
      <c r="M203" s="118"/>
      <c r="N203" s="99"/>
      <c r="O203" s="100">
        <f t="shared" si="95"/>
        <v>0</v>
      </c>
      <c r="P203" s="119"/>
      <c r="Q203" s="120"/>
      <c r="R203" s="103"/>
      <c r="S203" s="104"/>
      <c r="T203" s="119"/>
      <c r="U203" s="121"/>
      <c r="V203" s="122"/>
      <c r="W203" s="147"/>
      <c r="X203" s="124"/>
      <c r="Y203" s="125">
        <f t="shared" si="96"/>
        <v>0</v>
      </c>
      <c r="Z203" s="126">
        <f t="shared" si="99"/>
        <v>0</v>
      </c>
      <c r="AA203" s="126">
        <f t="shared" si="98"/>
        <v>0</v>
      </c>
    </row>
    <row r="204" spans="1:27" s="87" customFormat="1" ht="13.5" customHeight="1">
      <c r="A204" s="109"/>
      <c r="B204" s="110"/>
      <c r="C204" s="111">
        <v>18.1</v>
      </c>
      <c r="D204" s="148" t="s">
        <v>228</v>
      </c>
      <c r="E204" s="113"/>
      <c r="F204" s="114"/>
      <c r="G204" s="115"/>
      <c r="H204" s="116"/>
      <c r="I204" s="103"/>
      <c r="J204" s="99"/>
      <c r="K204" s="118"/>
      <c r="L204" s="99"/>
      <c r="M204" s="118"/>
      <c r="N204" s="99"/>
      <c r="O204" s="100">
        <f t="shared" si="95"/>
        <v>0</v>
      </c>
      <c r="P204" s="119"/>
      <c r="Q204" s="120"/>
      <c r="R204" s="103"/>
      <c r="S204" s="104"/>
      <c r="T204" s="119"/>
      <c r="U204" s="121"/>
      <c r="V204" s="122"/>
      <c r="W204" s="147"/>
      <c r="X204" s="124"/>
      <c r="Y204" s="125">
        <f t="shared" si="96"/>
        <v>0</v>
      </c>
      <c r="Z204" s="126">
        <f t="shared" si="99"/>
        <v>0</v>
      </c>
      <c r="AA204" s="126">
        <f t="shared" si="98"/>
        <v>0</v>
      </c>
    </row>
    <row r="205" spans="1:27" s="87" customFormat="1" ht="13.5" customHeight="1">
      <c r="A205" s="109"/>
      <c r="B205" s="110"/>
      <c r="C205" s="111" t="s">
        <v>229</v>
      </c>
      <c r="D205" s="148" t="s">
        <v>76</v>
      </c>
      <c r="E205" s="113" t="s">
        <v>2</v>
      </c>
      <c r="F205" s="114">
        <v>1475035</v>
      </c>
      <c r="G205" s="115">
        <v>24</v>
      </c>
      <c r="H205" s="116">
        <f>F205*G205</f>
        <v>35400840</v>
      </c>
      <c r="I205" s="117">
        <v>26</v>
      </c>
      <c r="J205" s="99">
        <f aca="true" t="shared" si="133" ref="J205:J211">+I205*F205</f>
        <v>38350910</v>
      </c>
      <c r="K205" s="118"/>
      <c r="L205" s="99">
        <f aca="true" t="shared" si="134" ref="L205:L211">+K205*F205</f>
        <v>0</v>
      </c>
      <c r="M205" s="118">
        <v>26</v>
      </c>
      <c r="N205" s="99">
        <f>+M205*F205</f>
        <v>38350910</v>
      </c>
      <c r="O205" s="100">
        <f t="shared" si="95"/>
        <v>0</v>
      </c>
      <c r="P205" s="119">
        <f aca="true" t="shared" si="135" ref="P205:P211">+I205-K205-M205</f>
        <v>0</v>
      </c>
      <c r="Q205" s="120">
        <f aca="true" t="shared" si="136" ref="Q205:Q211">+P205*F205</f>
        <v>0</v>
      </c>
      <c r="R205" s="103">
        <f aca="true" t="shared" si="137" ref="R205:R211">+I205-K205-M205-P205</f>
        <v>0</v>
      </c>
      <c r="S205" s="104">
        <f aca="true" t="shared" si="138" ref="S205:S211">+R205*F205</f>
        <v>0</v>
      </c>
      <c r="T205" s="119">
        <f aca="true" t="shared" si="139" ref="T205:T211">+K205+M205+O205+R205</f>
        <v>26</v>
      </c>
      <c r="U205" s="121"/>
      <c r="V205" s="122">
        <f aca="true" t="shared" si="140" ref="V205:V211">+T205*F205</f>
        <v>38350910</v>
      </c>
      <c r="W205" s="123">
        <f aca="true" t="shared" si="141" ref="W205:W211">+I205-T205</f>
        <v>0</v>
      </c>
      <c r="X205" s="124">
        <f aca="true" t="shared" si="142" ref="X205:X211">+W205*F205</f>
        <v>0</v>
      </c>
      <c r="Y205" s="125">
        <f t="shared" si="96"/>
        <v>0</v>
      </c>
      <c r="Z205" s="126">
        <f t="shared" si="99"/>
        <v>0</v>
      </c>
      <c r="AA205" s="126">
        <f t="shared" si="98"/>
        <v>0</v>
      </c>
    </row>
    <row r="206" spans="1:27" s="87" customFormat="1" ht="13.5" customHeight="1">
      <c r="A206" s="109"/>
      <c r="B206" s="110"/>
      <c r="C206" s="111" t="s">
        <v>230</v>
      </c>
      <c r="D206" s="148" t="s">
        <v>26</v>
      </c>
      <c r="E206" s="113" t="s">
        <v>20</v>
      </c>
      <c r="F206" s="114">
        <v>428974</v>
      </c>
      <c r="G206" s="115">
        <v>201.63</v>
      </c>
      <c r="H206" s="116">
        <f>F206*G206</f>
        <v>86494027.62</v>
      </c>
      <c r="I206" s="117">
        <v>184.5923031208541</v>
      </c>
      <c r="J206" s="99">
        <f t="shared" si="133"/>
        <v>79185298.63896526</v>
      </c>
      <c r="K206" s="118"/>
      <c r="L206" s="99">
        <f t="shared" si="134"/>
        <v>0</v>
      </c>
      <c r="M206" s="118">
        <v>176.56</v>
      </c>
      <c r="N206" s="99">
        <v>75741545.52</v>
      </c>
      <c r="O206" s="100">
        <f t="shared" si="95"/>
        <v>8.032303120854095</v>
      </c>
      <c r="P206" s="119">
        <f t="shared" si="135"/>
        <v>8.032303120854095</v>
      </c>
      <c r="Q206" s="120">
        <f t="shared" si="136"/>
        <v>3445649.1989652645</v>
      </c>
      <c r="R206" s="103">
        <f t="shared" si="137"/>
        <v>0</v>
      </c>
      <c r="S206" s="104">
        <f t="shared" si="138"/>
        <v>0</v>
      </c>
      <c r="T206" s="119">
        <f t="shared" si="139"/>
        <v>184.5923031208541</v>
      </c>
      <c r="U206" s="121"/>
      <c r="V206" s="122">
        <f t="shared" si="140"/>
        <v>79185298.63896526</v>
      </c>
      <c r="W206" s="123">
        <f t="shared" si="141"/>
        <v>0</v>
      </c>
      <c r="X206" s="124">
        <f t="shared" si="142"/>
        <v>0</v>
      </c>
      <c r="Y206" s="125">
        <f t="shared" si="96"/>
        <v>0</v>
      </c>
      <c r="Z206" s="126">
        <f t="shared" si="99"/>
        <v>0</v>
      </c>
      <c r="AA206" s="126">
        <f t="shared" si="98"/>
        <v>3445649.1989652645</v>
      </c>
    </row>
    <row r="207" spans="1:27" s="87" customFormat="1" ht="13.5" customHeight="1">
      <c r="A207" s="109"/>
      <c r="B207" s="110"/>
      <c r="C207" s="111">
        <v>18.2</v>
      </c>
      <c r="D207" s="142" t="s">
        <v>231</v>
      </c>
      <c r="E207" s="113"/>
      <c r="F207" s="114"/>
      <c r="G207" s="115"/>
      <c r="H207" s="116"/>
      <c r="I207" s="117"/>
      <c r="J207" s="99"/>
      <c r="K207" s="118"/>
      <c r="L207" s="99"/>
      <c r="M207" s="118"/>
      <c r="N207" s="99"/>
      <c r="O207" s="100">
        <f t="shared" si="95"/>
        <v>0</v>
      </c>
      <c r="P207" s="119">
        <f t="shared" si="135"/>
        <v>0</v>
      </c>
      <c r="Q207" s="120">
        <f t="shared" si="136"/>
        <v>0</v>
      </c>
      <c r="R207" s="103">
        <f t="shared" si="137"/>
        <v>0</v>
      </c>
      <c r="S207" s="104">
        <f t="shared" si="138"/>
        <v>0</v>
      </c>
      <c r="T207" s="119">
        <f t="shared" si="139"/>
        <v>0</v>
      </c>
      <c r="U207" s="121"/>
      <c r="V207" s="122"/>
      <c r="W207" s="123"/>
      <c r="X207" s="124"/>
      <c r="Y207" s="125">
        <f t="shared" si="96"/>
        <v>0</v>
      </c>
      <c r="Z207" s="126">
        <f t="shared" si="99"/>
        <v>0</v>
      </c>
      <c r="AA207" s="126">
        <f t="shared" si="98"/>
        <v>0</v>
      </c>
    </row>
    <row r="208" spans="1:27" s="87" customFormat="1" ht="13.5" customHeight="1">
      <c r="A208" s="109"/>
      <c r="B208" s="110"/>
      <c r="C208" s="111" t="s">
        <v>232</v>
      </c>
      <c r="D208" s="148" t="s">
        <v>233</v>
      </c>
      <c r="E208" s="113" t="s">
        <v>2</v>
      </c>
      <c r="F208" s="114">
        <v>295604</v>
      </c>
      <c r="G208" s="115">
        <v>24</v>
      </c>
      <c r="H208" s="116">
        <f>F208*G208</f>
        <v>7094496</v>
      </c>
      <c r="I208" s="117">
        <v>10</v>
      </c>
      <c r="J208" s="99">
        <f t="shared" si="133"/>
        <v>2956040</v>
      </c>
      <c r="K208" s="118"/>
      <c r="L208" s="99">
        <f t="shared" si="134"/>
        <v>0</v>
      </c>
      <c r="M208" s="118">
        <v>10</v>
      </c>
      <c r="N208" s="99">
        <f>+M208*F208</f>
        <v>2956040</v>
      </c>
      <c r="O208" s="100">
        <f t="shared" si="95"/>
        <v>0</v>
      </c>
      <c r="P208" s="119">
        <f t="shared" si="135"/>
        <v>0</v>
      </c>
      <c r="Q208" s="120">
        <f t="shared" si="136"/>
        <v>0</v>
      </c>
      <c r="R208" s="103">
        <f t="shared" si="137"/>
        <v>0</v>
      </c>
      <c r="S208" s="104">
        <f t="shared" si="138"/>
        <v>0</v>
      </c>
      <c r="T208" s="119">
        <f t="shared" si="139"/>
        <v>10</v>
      </c>
      <c r="U208" s="121"/>
      <c r="V208" s="122">
        <f t="shared" si="140"/>
        <v>2956040</v>
      </c>
      <c r="W208" s="123">
        <f t="shared" si="141"/>
        <v>0</v>
      </c>
      <c r="X208" s="124">
        <f t="shared" si="142"/>
        <v>0</v>
      </c>
      <c r="Y208" s="125">
        <f t="shared" si="96"/>
        <v>0</v>
      </c>
      <c r="Z208" s="126">
        <f t="shared" si="99"/>
        <v>0</v>
      </c>
      <c r="AA208" s="126">
        <f t="shared" si="98"/>
        <v>0</v>
      </c>
    </row>
    <row r="209" spans="1:27" s="87" customFormat="1" ht="13.5" customHeight="1">
      <c r="A209" s="109"/>
      <c r="B209" s="110"/>
      <c r="C209" s="111" t="s">
        <v>234</v>
      </c>
      <c r="D209" s="148" t="s">
        <v>26</v>
      </c>
      <c r="E209" s="113" t="s">
        <v>20</v>
      </c>
      <c r="F209" s="114">
        <v>428974</v>
      </c>
      <c r="G209" s="115">
        <v>108.8</v>
      </c>
      <c r="H209" s="116">
        <f>F209*G209</f>
        <v>46672371.199999996</v>
      </c>
      <c r="I209" s="117">
        <v>123.9</v>
      </c>
      <c r="J209" s="99">
        <f t="shared" si="133"/>
        <v>53149878.6</v>
      </c>
      <c r="K209" s="118"/>
      <c r="L209" s="99">
        <f t="shared" si="134"/>
        <v>0</v>
      </c>
      <c r="M209" s="118">
        <v>79.24</v>
      </c>
      <c r="N209" s="99">
        <f>+M209*F209</f>
        <v>33991899.76</v>
      </c>
      <c r="O209" s="128"/>
      <c r="P209" s="119"/>
      <c r="Q209" s="120">
        <f t="shared" si="136"/>
        <v>0</v>
      </c>
      <c r="R209" s="103">
        <f t="shared" si="137"/>
        <v>44.66000000000001</v>
      </c>
      <c r="S209" s="104">
        <f t="shared" si="138"/>
        <v>19157978.840000004</v>
      </c>
      <c r="T209" s="119">
        <f t="shared" si="139"/>
        <v>123.9</v>
      </c>
      <c r="U209" s="121"/>
      <c r="V209" s="122">
        <f t="shared" si="140"/>
        <v>53149878.6</v>
      </c>
      <c r="W209" s="123">
        <f t="shared" si="141"/>
        <v>0</v>
      </c>
      <c r="X209" s="124">
        <f t="shared" si="142"/>
        <v>0</v>
      </c>
      <c r="Y209" s="125">
        <f t="shared" si="96"/>
        <v>0</v>
      </c>
      <c r="Z209" s="126">
        <f t="shared" si="99"/>
        <v>0</v>
      </c>
      <c r="AA209" s="126">
        <f t="shared" si="98"/>
        <v>0</v>
      </c>
    </row>
    <row r="210" spans="1:27" s="87" customFormat="1" ht="13.5" customHeight="1">
      <c r="A210" s="109"/>
      <c r="B210" s="110"/>
      <c r="C210" s="111">
        <v>18.3</v>
      </c>
      <c r="D210" s="148" t="s">
        <v>28</v>
      </c>
      <c r="E210" s="113" t="s">
        <v>2</v>
      </c>
      <c r="F210" s="114">
        <v>281670</v>
      </c>
      <c r="G210" s="115">
        <v>48</v>
      </c>
      <c r="H210" s="116">
        <f>F210*G210</f>
        <v>13520160</v>
      </c>
      <c r="I210" s="117">
        <v>36</v>
      </c>
      <c r="J210" s="99">
        <f t="shared" si="133"/>
        <v>10140120</v>
      </c>
      <c r="K210" s="118"/>
      <c r="L210" s="99">
        <f t="shared" si="134"/>
        <v>0</v>
      </c>
      <c r="M210" s="118">
        <v>36</v>
      </c>
      <c r="N210" s="99">
        <f>+M210*F210</f>
        <v>10140120</v>
      </c>
      <c r="O210" s="100">
        <f t="shared" si="95"/>
        <v>0</v>
      </c>
      <c r="P210" s="119">
        <f t="shared" si="135"/>
        <v>0</v>
      </c>
      <c r="Q210" s="120">
        <f t="shared" si="136"/>
        <v>0</v>
      </c>
      <c r="R210" s="103">
        <f t="shared" si="137"/>
        <v>0</v>
      </c>
      <c r="S210" s="104">
        <f t="shared" si="138"/>
        <v>0</v>
      </c>
      <c r="T210" s="119">
        <f t="shared" si="139"/>
        <v>36</v>
      </c>
      <c r="U210" s="121"/>
      <c r="V210" s="122">
        <f t="shared" si="140"/>
        <v>10140120</v>
      </c>
      <c r="W210" s="123">
        <f t="shared" si="141"/>
        <v>0</v>
      </c>
      <c r="X210" s="124">
        <f t="shared" si="142"/>
        <v>0</v>
      </c>
      <c r="Y210" s="125">
        <f t="shared" si="96"/>
        <v>0</v>
      </c>
      <c r="Z210" s="126">
        <f t="shared" si="99"/>
        <v>0</v>
      </c>
      <c r="AA210" s="126">
        <f t="shared" si="98"/>
        <v>0</v>
      </c>
    </row>
    <row r="211" spans="1:27" s="181" customFormat="1" ht="13.5" customHeight="1">
      <c r="A211" s="170"/>
      <c r="B211" s="171"/>
      <c r="C211" s="172">
        <v>18.4</v>
      </c>
      <c r="D211" s="173" t="s">
        <v>94</v>
      </c>
      <c r="E211" s="174" t="s">
        <v>2</v>
      </c>
      <c r="F211" s="114">
        <v>211004</v>
      </c>
      <c r="G211" s="115">
        <v>96</v>
      </c>
      <c r="H211" s="116">
        <f>F211*G211</f>
        <v>20256384</v>
      </c>
      <c r="I211" s="175">
        <v>72</v>
      </c>
      <c r="J211" s="176">
        <f t="shared" si="133"/>
        <v>15192288</v>
      </c>
      <c r="K211" s="167"/>
      <c r="L211" s="99">
        <f t="shared" si="134"/>
        <v>0</v>
      </c>
      <c r="M211" s="167"/>
      <c r="N211" s="99">
        <f>+M211*F211</f>
        <v>0</v>
      </c>
      <c r="O211" s="100">
        <f aca="true" t="shared" si="143" ref="O211:O250">+I211-K211-M211</f>
        <v>72</v>
      </c>
      <c r="P211" s="119">
        <f t="shared" si="135"/>
        <v>72</v>
      </c>
      <c r="Q211" s="120">
        <f t="shared" si="136"/>
        <v>15192288</v>
      </c>
      <c r="R211" s="103">
        <f t="shared" si="137"/>
        <v>0</v>
      </c>
      <c r="S211" s="104">
        <f t="shared" si="138"/>
        <v>0</v>
      </c>
      <c r="T211" s="119">
        <f t="shared" si="139"/>
        <v>72</v>
      </c>
      <c r="U211" s="178"/>
      <c r="V211" s="179">
        <f t="shared" si="140"/>
        <v>15192288</v>
      </c>
      <c r="W211" s="123">
        <f t="shared" si="141"/>
        <v>0</v>
      </c>
      <c r="X211" s="180">
        <f t="shared" si="142"/>
        <v>0</v>
      </c>
      <c r="Y211" s="125">
        <f aca="true" t="shared" si="144" ref="Y211:Y274">+J211-V211</f>
        <v>0</v>
      </c>
      <c r="Z211" s="195">
        <f t="shared" si="99"/>
        <v>0</v>
      </c>
      <c r="AA211" s="126">
        <f aca="true" t="shared" si="145" ref="AA211:AA274">+Q211</f>
        <v>15192288</v>
      </c>
    </row>
    <row r="212" spans="1:27" s="87" customFormat="1" ht="13.5" customHeight="1">
      <c r="A212" s="109"/>
      <c r="B212" s="110"/>
      <c r="C212" s="90"/>
      <c r="D212" s="129" t="s">
        <v>31</v>
      </c>
      <c r="E212" s="130"/>
      <c r="F212" s="131"/>
      <c r="G212" s="132"/>
      <c r="H212" s="133">
        <f>SUM(H205:H211)</f>
        <v>209438278.82</v>
      </c>
      <c r="I212" s="134"/>
      <c r="J212" s="135">
        <f>SUM(J205:J211)</f>
        <v>198974535.23896527</v>
      </c>
      <c r="K212" s="136"/>
      <c r="L212" s="135">
        <f>SUM(L205:L211)</f>
        <v>0</v>
      </c>
      <c r="M212" s="136"/>
      <c r="N212" s="135">
        <f>SUM(N205:N211)</f>
        <v>161180515.28</v>
      </c>
      <c r="O212" s="100">
        <f t="shared" si="143"/>
        <v>0</v>
      </c>
      <c r="P212" s="137"/>
      <c r="Q212" s="133">
        <f>SUM(Q205:Q211)</f>
        <v>18637937.198965266</v>
      </c>
      <c r="R212" s="138"/>
      <c r="S212" s="152">
        <f>SUM(S205:S211)</f>
        <v>19157978.840000004</v>
      </c>
      <c r="T212" s="137"/>
      <c r="U212" s="139"/>
      <c r="V212" s="135">
        <f>SUM(V205:V211)</f>
        <v>198974535.23896527</v>
      </c>
      <c r="W212" s="140"/>
      <c r="X212" s="141">
        <f>SUM(X205:X211)</f>
        <v>0</v>
      </c>
      <c r="Y212" s="125">
        <f t="shared" si="144"/>
        <v>0</v>
      </c>
      <c r="Z212" s="126">
        <f t="shared" si="99"/>
        <v>0</v>
      </c>
      <c r="AA212" s="126">
        <f t="shared" si="145"/>
        <v>18637937.198965266</v>
      </c>
    </row>
    <row r="213" spans="1:27" s="87" customFormat="1" ht="13.5" customHeight="1">
      <c r="A213" s="109">
        <v>19</v>
      </c>
      <c r="B213" s="110"/>
      <c r="C213" s="90"/>
      <c r="D213" s="142" t="s">
        <v>235</v>
      </c>
      <c r="E213" s="143"/>
      <c r="F213" s="144"/>
      <c r="G213" s="145"/>
      <c r="H213" s="146"/>
      <c r="I213" s="117"/>
      <c r="J213" s="99"/>
      <c r="K213" s="118"/>
      <c r="L213" s="99"/>
      <c r="M213" s="118"/>
      <c r="N213" s="99"/>
      <c r="O213" s="100">
        <f t="shared" si="143"/>
        <v>0</v>
      </c>
      <c r="P213" s="119"/>
      <c r="Q213" s="120"/>
      <c r="R213" s="103"/>
      <c r="S213" s="104"/>
      <c r="T213" s="119"/>
      <c r="U213" s="121"/>
      <c r="V213" s="122"/>
      <c r="W213" s="147"/>
      <c r="X213" s="124"/>
      <c r="Y213" s="125">
        <f t="shared" si="144"/>
        <v>0</v>
      </c>
      <c r="Z213" s="126">
        <f>+X213-Y213</f>
        <v>0</v>
      </c>
      <c r="AA213" s="126">
        <f t="shared" si="145"/>
        <v>0</v>
      </c>
    </row>
    <row r="214" spans="1:27" s="87" customFormat="1" ht="13.5" customHeight="1">
      <c r="A214" s="109"/>
      <c r="B214" s="110"/>
      <c r="C214" s="111">
        <v>19.1</v>
      </c>
      <c r="D214" s="148" t="s">
        <v>98</v>
      </c>
      <c r="E214" s="113" t="s">
        <v>2</v>
      </c>
      <c r="F214" s="114">
        <v>912690</v>
      </c>
      <c r="G214" s="115">
        <v>4</v>
      </c>
      <c r="H214" s="116">
        <f>F214*G214</f>
        <v>3650760</v>
      </c>
      <c r="I214" s="117">
        <v>4</v>
      </c>
      <c r="J214" s="99">
        <f>+I214*F214</f>
        <v>3650760</v>
      </c>
      <c r="K214" s="118"/>
      <c r="L214" s="99">
        <f>+K214*F214</f>
        <v>0</v>
      </c>
      <c r="M214" s="118">
        <v>3</v>
      </c>
      <c r="N214" s="99">
        <f>+M214*F214</f>
        <v>2738070</v>
      </c>
      <c r="O214" s="100">
        <f t="shared" si="143"/>
        <v>1</v>
      </c>
      <c r="P214" s="119">
        <f>+I214-K214-M214</f>
        <v>1</v>
      </c>
      <c r="Q214" s="120">
        <f>+P214*F214</f>
        <v>912690</v>
      </c>
      <c r="R214" s="103">
        <f>+I214-K214-M214-P214</f>
        <v>0</v>
      </c>
      <c r="S214" s="104">
        <f>+R214*F214</f>
        <v>0</v>
      </c>
      <c r="T214" s="119">
        <f>+K214+M214+O214+R214</f>
        <v>4</v>
      </c>
      <c r="U214" s="121"/>
      <c r="V214" s="122">
        <f>+T214*F214</f>
        <v>3650760</v>
      </c>
      <c r="W214" s="123">
        <f>+I214-T214</f>
        <v>0</v>
      </c>
      <c r="X214" s="124">
        <f>+W214*F214</f>
        <v>0</v>
      </c>
      <c r="Y214" s="125">
        <f t="shared" si="144"/>
        <v>0</v>
      </c>
      <c r="Z214" s="126">
        <f aca="true" t="shared" si="146" ref="Z214:Z233">+X214-Y214</f>
        <v>0</v>
      </c>
      <c r="AA214" s="126">
        <f t="shared" si="145"/>
        <v>912690</v>
      </c>
    </row>
    <row r="215" spans="1:27" s="87" customFormat="1" ht="13.5" customHeight="1">
      <c r="A215" s="109"/>
      <c r="B215" s="110"/>
      <c r="C215" s="111">
        <v>19.2</v>
      </c>
      <c r="D215" s="148" t="s">
        <v>217</v>
      </c>
      <c r="E215" s="113" t="s">
        <v>2</v>
      </c>
      <c r="F215" s="114">
        <v>565330</v>
      </c>
      <c r="G215" s="115">
        <v>36</v>
      </c>
      <c r="H215" s="116">
        <f>F215*G215</f>
        <v>20351880</v>
      </c>
      <c r="I215" s="117">
        <v>32</v>
      </c>
      <c r="J215" s="99">
        <f>+I215*F215</f>
        <v>18090560</v>
      </c>
      <c r="K215" s="118"/>
      <c r="L215" s="99">
        <f>+K215*F215</f>
        <v>0</v>
      </c>
      <c r="M215" s="118">
        <v>32</v>
      </c>
      <c r="N215" s="99">
        <f>+M215*F215</f>
        <v>18090560</v>
      </c>
      <c r="O215" s="100">
        <f t="shared" si="143"/>
        <v>0</v>
      </c>
      <c r="P215" s="119">
        <f>+I215-K215-M215</f>
        <v>0</v>
      </c>
      <c r="Q215" s="120">
        <f>+P215*F215</f>
        <v>0</v>
      </c>
      <c r="R215" s="103">
        <f>+I215-K215-M215-P215</f>
        <v>0</v>
      </c>
      <c r="S215" s="104">
        <f>+R215*F215</f>
        <v>0</v>
      </c>
      <c r="T215" s="119">
        <f>+K215+M215+O215+R215</f>
        <v>32</v>
      </c>
      <c r="U215" s="121"/>
      <c r="V215" s="122">
        <f>+T215*F215</f>
        <v>18090560</v>
      </c>
      <c r="W215" s="123">
        <f>+I215-T215</f>
        <v>0</v>
      </c>
      <c r="X215" s="124">
        <f>+W215*F215</f>
        <v>0</v>
      </c>
      <c r="Y215" s="125">
        <f t="shared" si="144"/>
        <v>0</v>
      </c>
      <c r="Z215" s="126">
        <f t="shared" si="146"/>
        <v>0</v>
      </c>
      <c r="AA215" s="126">
        <f t="shared" si="145"/>
        <v>0</v>
      </c>
    </row>
    <row r="216" spans="1:27" s="87" customFormat="1" ht="13.5" customHeight="1">
      <c r="A216" s="109"/>
      <c r="B216" s="110"/>
      <c r="C216" s="90"/>
      <c r="D216" s="129" t="s">
        <v>31</v>
      </c>
      <c r="E216" s="130"/>
      <c r="F216" s="131"/>
      <c r="G216" s="132"/>
      <c r="H216" s="133">
        <f>SUM(H214:H215)</f>
        <v>24002640</v>
      </c>
      <c r="I216" s="134"/>
      <c r="J216" s="135">
        <f>SUM(J214:J215)</f>
        <v>21741320</v>
      </c>
      <c r="K216" s="136"/>
      <c r="L216" s="135">
        <f>SUM(L214:L215)</f>
        <v>0</v>
      </c>
      <c r="M216" s="136"/>
      <c r="N216" s="135">
        <f>SUM(N214:N215)</f>
        <v>20828630</v>
      </c>
      <c r="O216" s="100">
        <f t="shared" si="143"/>
        <v>0</v>
      </c>
      <c r="P216" s="137"/>
      <c r="Q216" s="133">
        <f>SUM(Q214:Q215)</f>
        <v>912690</v>
      </c>
      <c r="R216" s="138"/>
      <c r="S216" s="135">
        <f>SUM(S214:S215)</f>
        <v>0</v>
      </c>
      <c r="T216" s="137"/>
      <c r="U216" s="139"/>
      <c r="V216" s="135">
        <f>SUM(V214:V215)</f>
        <v>21741320</v>
      </c>
      <c r="W216" s="140"/>
      <c r="X216" s="141">
        <f>SUM(X214:X215)</f>
        <v>0</v>
      </c>
      <c r="Y216" s="125">
        <f t="shared" si="144"/>
        <v>0</v>
      </c>
      <c r="Z216" s="126">
        <f t="shared" si="146"/>
        <v>0</v>
      </c>
      <c r="AA216" s="126">
        <f t="shared" si="145"/>
        <v>912690</v>
      </c>
    </row>
    <row r="217" spans="1:27" s="87" customFormat="1" ht="13.5" customHeight="1">
      <c r="A217" s="109"/>
      <c r="B217" s="110"/>
      <c r="C217" s="90"/>
      <c r="D217" s="165" t="s">
        <v>236</v>
      </c>
      <c r="E217" s="143"/>
      <c r="F217" s="144"/>
      <c r="G217" s="145"/>
      <c r="H217" s="133">
        <f>+H216+H212+H202</f>
        <v>268327830.07999998</v>
      </c>
      <c r="I217" s="117"/>
      <c r="J217" s="135">
        <f>+J216+J212+J202</f>
        <v>262750563.57896528</v>
      </c>
      <c r="K217" s="136"/>
      <c r="L217" s="135">
        <f>+L216+L212+L202</f>
        <v>0</v>
      </c>
      <c r="M217" s="136"/>
      <c r="N217" s="135">
        <f>+N216+N212+N202</f>
        <v>206703519.28</v>
      </c>
      <c r="O217" s="100">
        <f t="shared" si="143"/>
        <v>0</v>
      </c>
      <c r="P217" s="119"/>
      <c r="Q217" s="133">
        <f>+Q216+Q212+Q202</f>
        <v>19550627.198965266</v>
      </c>
      <c r="R217" s="138"/>
      <c r="S217" s="135">
        <f>+S216+S212+S202</f>
        <v>36498313.18000001</v>
      </c>
      <c r="T217" s="119"/>
      <c r="U217" s="121"/>
      <c r="V217" s="135">
        <f>+V216+V212+V202</f>
        <v>262750563.57896528</v>
      </c>
      <c r="W217" s="147"/>
      <c r="X217" s="141">
        <f>+X216+X212+X202</f>
        <v>0</v>
      </c>
      <c r="Y217" s="125">
        <f t="shared" si="144"/>
        <v>0</v>
      </c>
      <c r="Z217" s="126">
        <f t="shared" si="146"/>
        <v>0</v>
      </c>
      <c r="AA217" s="126">
        <f t="shared" si="145"/>
        <v>19550627.198965266</v>
      </c>
    </row>
    <row r="218" spans="1:27" s="87" customFormat="1" ht="13.5" customHeight="1">
      <c r="A218" s="109">
        <v>20</v>
      </c>
      <c r="B218" s="110"/>
      <c r="C218" s="90"/>
      <c r="D218" s="142" t="s">
        <v>237</v>
      </c>
      <c r="E218" s="143"/>
      <c r="F218" s="144"/>
      <c r="G218" s="145"/>
      <c r="H218" s="146"/>
      <c r="I218" s="117"/>
      <c r="J218" s="99"/>
      <c r="K218" s="118"/>
      <c r="L218" s="99"/>
      <c r="M218" s="118"/>
      <c r="N218" s="99"/>
      <c r="O218" s="100">
        <f t="shared" si="143"/>
        <v>0</v>
      </c>
      <c r="P218" s="119"/>
      <c r="Q218" s="120"/>
      <c r="R218" s="103"/>
      <c r="S218" s="104"/>
      <c r="T218" s="119"/>
      <c r="U218" s="121"/>
      <c r="V218" s="122"/>
      <c r="W218" s="147"/>
      <c r="X218" s="124"/>
      <c r="Y218" s="125">
        <f t="shared" si="144"/>
        <v>0</v>
      </c>
      <c r="Z218" s="126">
        <f t="shared" si="146"/>
        <v>0</v>
      </c>
      <c r="AA218" s="126">
        <f t="shared" si="145"/>
        <v>0</v>
      </c>
    </row>
    <row r="219" spans="1:27" s="87" customFormat="1" ht="13.5" customHeight="1">
      <c r="A219" s="109"/>
      <c r="B219" s="110"/>
      <c r="C219" s="111">
        <v>20.1</v>
      </c>
      <c r="D219" s="148" t="s">
        <v>238</v>
      </c>
      <c r="E219" s="113" t="s">
        <v>2</v>
      </c>
      <c r="F219" s="114">
        <v>632016</v>
      </c>
      <c r="G219" s="115">
        <v>10</v>
      </c>
      <c r="H219" s="116">
        <f>F219*G219</f>
        <v>6320160</v>
      </c>
      <c r="I219" s="117">
        <v>10</v>
      </c>
      <c r="J219" s="99">
        <f>+I219*F219</f>
        <v>6320160</v>
      </c>
      <c r="K219" s="118"/>
      <c r="L219" s="99">
        <f>+K219*F219</f>
        <v>0</v>
      </c>
      <c r="M219" s="118">
        <v>5</v>
      </c>
      <c r="N219" s="99">
        <f>+M219*F219</f>
        <v>3160080</v>
      </c>
      <c r="O219" s="100">
        <f t="shared" si="143"/>
        <v>5</v>
      </c>
      <c r="P219" s="119">
        <f>+I219-K219-M219</f>
        <v>5</v>
      </c>
      <c r="Q219" s="120">
        <f>+P219*F219</f>
        <v>3160080</v>
      </c>
      <c r="R219" s="103">
        <f>+I219-K219-M219-P219</f>
        <v>0</v>
      </c>
      <c r="S219" s="104">
        <f>+R219*F219</f>
        <v>0</v>
      </c>
      <c r="T219" s="119">
        <f>+K219+M219+O219+R219</f>
        <v>10</v>
      </c>
      <c r="U219" s="121"/>
      <c r="V219" s="122">
        <f>+T219*F219</f>
        <v>6320160</v>
      </c>
      <c r="W219" s="123">
        <f>+I219-T219</f>
        <v>0</v>
      </c>
      <c r="X219" s="124">
        <f>+W219*F219</f>
        <v>0</v>
      </c>
      <c r="Y219" s="125">
        <f t="shared" si="144"/>
        <v>0</v>
      </c>
      <c r="Z219" s="126">
        <f t="shared" si="146"/>
        <v>0</v>
      </c>
      <c r="AA219" s="126">
        <f t="shared" si="145"/>
        <v>3160080</v>
      </c>
    </row>
    <row r="220" spans="1:27" s="87" customFormat="1" ht="13.5" customHeight="1">
      <c r="A220" s="109"/>
      <c r="B220" s="110"/>
      <c r="C220" s="111">
        <v>20.2</v>
      </c>
      <c r="D220" s="148" t="s">
        <v>239</v>
      </c>
      <c r="E220" s="113" t="s">
        <v>2</v>
      </c>
      <c r="F220" s="114">
        <v>2254355</v>
      </c>
      <c r="G220" s="115">
        <v>6</v>
      </c>
      <c r="H220" s="116">
        <f>F220*G220</f>
        <v>13526130</v>
      </c>
      <c r="I220" s="117">
        <v>6</v>
      </c>
      <c r="J220" s="99">
        <f>+I220*F220</f>
        <v>13526130</v>
      </c>
      <c r="K220" s="118"/>
      <c r="L220" s="99">
        <f>+K220*F220</f>
        <v>0</v>
      </c>
      <c r="M220" s="118">
        <v>3</v>
      </c>
      <c r="N220" s="99">
        <f>+M220*F220</f>
        <v>6763065</v>
      </c>
      <c r="O220" s="100">
        <f t="shared" si="143"/>
        <v>3</v>
      </c>
      <c r="P220" s="119">
        <f>+I220-K220-M220</f>
        <v>3</v>
      </c>
      <c r="Q220" s="120">
        <f>+P220*F220</f>
        <v>6763065</v>
      </c>
      <c r="R220" s="103">
        <f>+I220-K220-M220-P220</f>
        <v>0</v>
      </c>
      <c r="S220" s="104">
        <f>+R220*F220</f>
        <v>0</v>
      </c>
      <c r="T220" s="119">
        <f>+K220+M220+O220+R220</f>
        <v>6</v>
      </c>
      <c r="U220" s="121"/>
      <c r="V220" s="122">
        <f>+T220*F220</f>
        <v>13526130</v>
      </c>
      <c r="W220" s="123">
        <f>+I220-T220</f>
        <v>0</v>
      </c>
      <c r="X220" s="124">
        <f>+W220*F220</f>
        <v>0</v>
      </c>
      <c r="Y220" s="125">
        <f t="shared" si="144"/>
        <v>0</v>
      </c>
      <c r="Z220" s="126">
        <f t="shared" si="146"/>
        <v>0</v>
      </c>
      <c r="AA220" s="126">
        <f t="shared" si="145"/>
        <v>6763065</v>
      </c>
    </row>
    <row r="221" spans="1:27" s="87" customFormat="1" ht="13.5" customHeight="1">
      <c r="A221" s="109"/>
      <c r="B221" s="110"/>
      <c r="C221" s="111">
        <v>20.3</v>
      </c>
      <c r="D221" s="148" t="s">
        <v>240</v>
      </c>
      <c r="E221" s="113" t="s">
        <v>2</v>
      </c>
      <c r="F221" s="114">
        <v>222947</v>
      </c>
      <c r="G221" s="115">
        <v>64</v>
      </c>
      <c r="H221" s="116">
        <f>F221*G221</f>
        <v>14268608</v>
      </c>
      <c r="I221" s="117">
        <v>64</v>
      </c>
      <c r="J221" s="99">
        <f>+I221*F221</f>
        <v>14268608</v>
      </c>
      <c r="K221" s="118"/>
      <c r="L221" s="99">
        <f>+K221*F221</f>
        <v>0</v>
      </c>
      <c r="M221" s="118">
        <v>30</v>
      </c>
      <c r="N221" s="99">
        <f>+M221*F221</f>
        <v>6688410</v>
      </c>
      <c r="O221" s="100">
        <f t="shared" si="143"/>
        <v>34</v>
      </c>
      <c r="P221" s="119">
        <f>+I221-K221-M221</f>
        <v>34</v>
      </c>
      <c r="Q221" s="120">
        <f>+P221*F221</f>
        <v>7580198</v>
      </c>
      <c r="R221" s="103">
        <f>+I221-K221-M221-P221</f>
        <v>0</v>
      </c>
      <c r="S221" s="104">
        <f>+R221*F221</f>
        <v>0</v>
      </c>
      <c r="T221" s="119">
        <f>+K221+M221+O221+R221</f>
        <v>64</v>
      </c>
      <c r="U221" s="121"/>
      <c r="V221" s="122">
        <f>+T221*F221</f>
        <v>14268608</v>
      </c>
      <c r="W221" s="123">
        <f>+I221-T221</f>
        <v>0</v>
      </c>
      <c r="X221" s="124">
        <f>+W221*F221</f>
        <v>0</v>
      </c>
      <c r="Y221" s="125">
        <f t="shared" si="144"/>
        <v>0</v>
      </c>
      <c r="Z221" s="126">
        <f t="shared" si="146"/>
        <v>0</v>
      </c>
      <c r="AA221" s="126">
        <f t="shared" si="145"/>
        <v>7580198</v>
      </c>
    </row>
    <row r="222" spans="1:27" s="87" customFormat="1" ht="13.5" customHeight="1">
      <c r="A222" s="109"/>
      <c r="B222" s="110"/>
      <c r="C222" s="90"/>
      <c r="D222" s="129" t="s">
        <v>31</v>
      </c>
      <c r="E222" s="130"/>
      <c r="F222" s="131"/>
      <c r="G222" s="132"/>
      <c r="H222" s="133">
        <f>SUM(H219:H221)</f>
        <v>34114898</v>
      </c>
      <c r="I222" s="134"/>
      <c r="J222" s="135">
        <f>SUM(J219:J221)</f>
        <v>34114898</v>
      </c>
      <c r="K222" s="136"/>
      <c r="L222" s="135">
        <f>SUM(L219:L221)</f>
        <v>0</v>
      </c>
      <c r="M222" s="136"/>
      <c r="N222" s="135">
        <f>SUM(N219:N221)</f>
        <v>16611555</v>
      </c>
      <c r="O222" s="100">
        <f t="shared" si="143"/>
        <v>0</v>
      </c>
      <c r="P222" s="137"/>
      <c r="Q222" s="133">
        <f>SUM(Q219:Q221)</f>
        <v>17503343</v>
      </c>
      <c r="R222" s="138"/>
      <c r="S222" s="135">
        <f>SUM(S219:S221)</f>
        <v>0</v>
      </c>
      <c r="T222" s="137"/>
      <c r="U222" s="139"/>
      <c r="V222" s="135">
        <f>SUM(V219:V221)</f>
        <v>34114898</v>
      </c>
      <c r="W222" s="140"/>
      <c r="X222" s="141">
        <f>SUM(X219:X221)</f>
        <v>0</v>
      </c>
      <c r="Y222" s="125">
        <f t="shared" si="144"/>
        <v>0</v>
      </c>
      <c r="Z222" s="126">
        <f t="shared" si="146"/>
        <v>0</v>
      </c>
      <c r="AA222" s="126">
        <f t="shared" si="145"/>
        <v>17503343</v>
      </c>
    </row>
    <row r="223" spans="1:27" s="87" customFormat="1" ht="13.5" customHeight="1">
      <c r="A223" s="109">
        <v>21</v>
      </c>
      <c r="B223" s="110"/>
      <c r="C223" s="90"/>
      <c r="D223" s="142" t="s">
        <v>241</v>
      </c>
      <c r="E223" s="143"/>
      <c r="F223" s="144"/>
      <c r="G223" s="145"/>
      <c r="H223" s="146"/>
      <c r="I223" s="117"/>
      <c r="J223" s="99"/>
      <c r="K223" s="118"/>
      <c r="L223" s="99"/>
      <c r="M223" s="118"/>
      <c r="N223" s="99"/>
      <c r="O223" s="100">
        <f t="shared" si="143"/>
        <v>0</v>
      </c>
      <c r="P223" s="119"/>
      <c r="Q223" s="120"/>
      <c r="R223" s="103"/>
      <c r="S223" s="104"/>
      <c r="T223" s="119"/>
      <c r="U223" s="121"/>
      <c r="V223" s="122"/>
      <c r="W223" s="147"/>
      <c r="X223" s="124"/>
      <c r="Y223" s="125">
        <f t="shared" si="144"/>
        <v>0</v>
      </c>
      <c r="Z223" s="126">
        <f t="shared" si="146"/>
        <v>0</v>
      </c>
      <c r="AA223" s="126">
        <f t="shared" si="145"/>
        <v>0</v>
      </c>
    </row>
    <row r="224" spans="1:27" s="87" customFormat="1" ht="13.5" customHeight="1">
      <c r="A224" s="109"/>
      <c r="B224" s="110"/>
      <c r="C224" s="111">
        <v>21.1</v>
      </c>
      <c r="D224" s="148" t="s">
        <v>242</v>
      </c>
      <c r="E224" s="113" t="s">
        <v>2</v>
      </c>
      <c r="F224" s="114">
        <v>912690</v>
      </c>
      <c r="G224" s="115">
        <v>10</v>
      </c>
      <c r="H224" s="116">
        <f>F224*G224</f>
        <v>9126900</v>
      </c>
      <c r="I224" s="117">
        <v>10</v>
      </c>
      <c r="J224" s="99">
        <f>+I224*F224</f>
        <v>9126900</v>
      </c>
      <c r="K224" s="118"/>
      <c r="L224" s="99">
        <f>+K224*F224</f>
        <v>0</v>
      </c>
      <c r="M224" s="118">
        <v>10</v>
      </c>
      <c r="N224" s="99">
        <f>+M224*F224</f>
        <v>9126900</v>
      </c>
      <c r="O224" s="100">
        <f t="shared" si="143"/>
        <v>0</v>
      </c>
      <c r="P224" s="119">
        <f>+I224-K224-M224</f>
        <v>0</v>
      </c>
      <c r="Q224" s="120">
        <f>+P224*F224</f>
        <v>0</v>
      </c>
      <c r="R224" s="103">
        <f>+I224-K224-M224-P224</f>
        <v>0</v>
      </c>
      <c r="S224" s="104">
        <f>+R224*F224</f>
        <v>0</v>
      </c>
      <c r="T224" s="119">
        <f>+K224+M224+O224+R224</f>
        <v>10</v>
      </c>
      <c r="U224" s="121"/>
      <c r="V224" s="122">
        <f>+T224*F224</f>
        <v>9126900</v>
      </c>
      <c r="W224" s="123">
        <f>+I224-T224</f>
        <v>0</v>
      </c>
      <c r="X224" s="124">
        <f>+W224*F224</f>
        <v>0</v>
      </c>
      <c r="Y224" s="125">
        <f t="shared" si="144"/>
        <v>0</v>
      </c>
      <c r="Z224" s="126">
        <f t="shared" si="146"/>
        <v>0</v>
      </c>
      <c r="AA224" s="126">
        <f t="shared" si="145"/>
        <v>0</v>
      </c>
    </row>
    <row r="225" spans="1:27" s="87" customFormat="1" ht="13.5" customHeight="1">
      <c r="A225" s="109"/>
      <c r="B225" s="110"/>
      <c r="C225" s="111">
        <v>21.2</v>
      </c>
      <c r="D225" s="148" t="s">
        <v>243</v>
      </c>
      <c r="E225" s="113" t="s">
        <v>2</v>
      </c>
      <c r="F225" s="114">
        <v>326458</v>
      </c>
      <c r="G225" s="115">
        <v>3</v>
      </c>
      <c r="H225" s="116">
        <f>F225*G225</f>
        <v>979374</v>
      </c>
      <c r="I225" s="117">
        <v>3</v>
      </c>
      <c r="J225" s="99">
        <f>+I225*F225</f>
        <v>979374</v>
      </c>
      <c r="K225" s="118"/>
      <c r="L225" s="99">
        <f>+K225*F225</f>
        <v>0</v>
      </c>
      <c r="M225" s="118">
        <v>3</v>
      </c>
      <c r="N225" s="99">
        <f>+M225*F225</f>
        <v>979374</v>
      </c>
      <c r="O225" s="100">
        <f t="shared" si="143"/>
        <v>0</v>
      </c>
      <c r="P225" s="119">
        <f>+I225-K225-M225</f>
        <v>0</v>
      </c>
      <c r="Q225" s="120">
        <f>+P225*F225</f>
        <v>0</v>
      </c>
      <c r="R225" s="103">
        <f>+I225-K225-M225-P225</f>
        <v>0</v>
      </c>
      <c r="S225" s="104">
        <f>+R225*F225</f>
        <v>0</v>
      </c>
      <c r="T225" s="119">
        <f>+K225+M225+O225+R225</f>
        <v>3</v>
      </c>
      <c r="U225" s="121"/>
      <c r="V225" s="122">
        <f>+T225*F225</f>
        <v>979374</v>
      </c>
      <c r="W225" s="123">
        <f>+I225-T225</f>
        <v>0</v>
      </c>
      <c r="X225" s="124">
        <f>+W225*F225</f>
        <v>0</v>
      </c>
      <c r="Y225" s="125">
        <f t="shared" si="144"/>
        <v>0</v>
      </c>
      <c r="Z225" s="126">
        <f t="shared" si="146"/>
        <v>0</v>
      </c>
      <c r="AA225" s="126">
        <f t="shared" si="145"/>
        <v>0</v>
      </c>
    </row>
    <row r="226" spans="1:27" s="87" customFormat="1" ht="13.5" customHeight="1">
      <c r="A226" s="109"/>
      <c r="B226" s="110"/>
      <c r="C226" s="90"/>
      <c r="D226" s="129" t="s">
        <v>31</v>
      </c>
      <c r="E226" s="130"/>
      <c r="F226" s="131"/>
      <c r="G226" s="132"/>
      <c r="H226" s="133">
        <f>SUM(H224:H225)</f>
        <v>10106274</v>
      </c>
      <c r="I226" s="134"/>
      <c r="J226" s="135">
        <f>SUM(J224:J225)</f>
        <v>10106274</v>
      </c>
      <c r="K226" s="136"/>
      <c r="L226" s="135">
        <f>SUM(L224:L225)</f>
        <v>0</v>
      </c>
      <c r="M226" s="136"/>
      <c r="N226" s="135">
        <f>SUM(N224:N225)</f>
        <v>10106274</v>
      </c>
      <c r="O226" s="100">
        <f t="shared" si="143"/>
        <v>0</v>
      </c>
      <c r="P226" s="137"/>
      <c r="Q226" s="133">
        <f>SUM(Q224:Q225)</f>
        <v>0</v>
      </c>
      <c r="R226" s="138"/>
      <c r="S226" s="135">
        <f>SUM(S224:S225)</f>
        <v>0</v>
      </c>
      <c r="T226" s="137"/>
      <c r="U226" s="139"/>
      <c r="V226" s="135">
        <f>SUM(V224:V225)</f>
        <v>10106274</v>
      </c>
      <c r="W226" s="140"/>
      <c r="X226" s="141">
        <f>SUM(X224:X225)</f>
        <v>0</v>
      </c>
      <c r="Y226" s="125">
        <f t="shared" si="144"/>
        <v>0</v>
      </c>
      <c r="Z226" s="126">
        <f t="shared" si="146"/>
        <v>0</v>
      </c>
      <c r="AA226" s="126">
        <f t="shared" si="145"/>
        <v>0</v>
      </c>
    </row>
    <row r="227" spans="1:27" s="87" customFormat="1" ht="13.5" customHeight="1">
      <c r="A227" s="109">
        <v>22</v>
      </c>
      <c r="B227" s="110"/>
      <c r="C227" s="90"/>
      <c r="D227" s="142" t="s">
        <v>244</v>
      </c>
      <c r="E227" s="143"/>
      <c r="F227" s="144"/>
      <c r="G227" s="145"/>
      <c r="H227" s="146"/>
      <c r="I227" s="117"/>
      <c r="J227" s="99"/>
      <c r="K227" s="118"/>
      <c r="L227" s="99"/>
      <c r="M227" s="118"/>
      <c r="N227" s="99"/>
      <c r="O227" s="100">
        <f t="shared" si="143"/>
        <v>0</v>
      </c>
      <c r="P227" s="119"/>
      <c r="Q227" s="120"/>
      <c r="R227" s="103"/>
      <c r="S227" s="104"/>
      <c r="T227" s="119"/>
      <c r="U227" s="121"/>
      <c r="V227" s="122"/>
      <c r="W227" s="147"/>
      <c r="X227" s="124"/>
      <c r="Y227" s="125">
        <f t="shared" si="144"/>
        <v>0</v>
      </c>
      <c r="Z227" s="126">
        <f t="shared" si="146"/>
        <v>0</v>
      </c>
      <c r="AA227" s="126">
        <f t="shared" si="145"/>
        <v>0</v>
      </c>
    </row>
    <row r="228" spans="1:27" s="87" customFormat="1" ht="13.5" customHeight="1">
      <c r="A228" s="109"/>
      <c r="B228" s="110">
        <v>22.1</v>
      </c>
      <c r="C228" s="90"/>
      <c r="D228" s="142" t="s">
        <v>245</v>
      </c>
      <c r="E228" s="143"/>
      <c r="F228" s="144"/>
      <c r="G228" s="145"/>
      <c r="H228" s="146"/>
      <c r="I228" s="117"/>
      <c r="J228" s="99"/>
      <c r="K228" s="118"/>
      <c r="L228" s="99"/>
      <c r="M228" s="118"/>
      <c r="N228" s="99"/>
      <c r="O228" s="100">
        <f t="shared" si="143"/>
        <v>0</v>
      </c>
      <c r="P228" s="119"/>
      <c r="Q228" s="120"/>
      <c r="R228" s="103"/>
      <c r="S228" s="104"/>
      <c r="T228" s="119"/>
      <c r="U228" s="121"/>
      <c r="V228" s="122"/>
      <c r="W228" s="147"/>
      <c r="X228" s="124"/>
      <c r="Y228" s="125">
        <f t="shared" si="144"/>
        <v>0</v>
      </c>
      <c r="Z228" s="126">
        <f t="shared" si="146"/>
        <v>0</v>
      </c>
      <c r="AA228" s="126">
        <f t="shared" si="145"/>
        <v>0</v>
      </c>
    </row>
    <row r="229" spans="1:27" s="87" customFormat="1" ht="13.5" customHeight="1">
      <c r="A229" s="109"/>
      <c r="B229" s="110"/>
      <c r="C229" s="111" t="s">
        <v>246</v>
      </c>
      <c r="D229" s="148" t="s">
        <v>247</v>
      </c>
      <c r="E229" s="113" t="s">
        <v>2</v>
      </c>
      <c r="F229" s="114">
        <v>376223</v>
      </c>
      <c r="G229" s="115">
        <v>136</v>
      </c>
      <c r="H229" s="116">
        <f>F229*G229</f>
        <v>51166328</v>
      </c>
      <c r="I229" s="117">
        <v>119</v>
      </c>
      <c r="J229" s="99">
        <f>+I229*F229</f>
        <v>44770537</v>
      </c>
      <c r="K229" s="118"/>
      <c r="L229" s="99">
        <f>+K229*F229</f>
        <v>0</v>
      </c>
      <c r="M229" s="118">
        <v>119</v>
      </c>
      <c r="N229" s="99">
        <f>+M229*F229</f>
        <v>44770537</v>
      </c>
      <c r="O229" s="100">
        <f t="shared" si="143"/>
        <v>0</v>
      </c>
      <c r="P229" s="119">
        <f>+I229-K229-M229</f>
        <v>0</v>
      </c>
      <c r="Q229" s="120">
        <f>+P229*F229</f>
        <v>0</v>
      </c>
      <c r="R229" s="103">
        <f>+I229-K229-M229-P229</f>
        <v>0</v>
      </c>
      <c r="S229" s="104">
        <f>+R229*F229</f>
        <v>0</v>
      </c>
      <c r="T229" s="119">
        <f>+K229+M229+O229+R229</f>
        <v>119</v>
      </c>
      <c r="U229" s="121"/>
      <c r="V229" s="122">
        <f>+T229*F229</f>
        <v>44770537</v>
      </c>
      <c r="W229" s="123">
        <f>+I229-T229</f>
        <v>0</v>
      </c>
      <c r="X229" s="124">
        <f>+W229*F229</f>
        <v>0</v>
      </c>
      <c r="Y229" s="125">
        <f t="shared" si="144"/>
        <v>0</v>
      </c>
      <c r="Z229" s="126">
        <f t="shared" si="146"/>
        <v>0</v>
      </c>
      <c r="AA229" s="126">
        <f t="shared" si="145"/>
        <v>0</v>
      </c>
    </row>
    <row r="230" spans="1:27" s="87" customFormat="1" ht="13.5" customHeight="1">
      <c r="A230" s="109"/>
      <c r="B230" s="110"/>
      <c r="C230" s="90"/>
      <c r="D230" s="129" t="s">
        <v>31</v>
      </c>
      <c r="E230" s="130"/>
      <c r="F230" s="131"/>
      <c r="G230" s="132"/>
      <c r="H230" s="133">
        <f>SUM(H229)</f>
        <v>51166328</v>
      </c>
      <c r="I230" s="134"/>
      <c r="J230" s="135">
        <f>SUM(J229)</f>
        <v>44770537</v>
      </c>
      <c r="K230" s="136"/>
      <c r="L230" s="135">
        <f>SUM(L229)</f>
        <v>0</v>
      </c>
      <c r="M230" s="136"/>
      <c r="N230" s="135">
        <f>SUM(N229)</f>
        <v>44770537</v>
      </c>
      <c r="O230" s="100">
        <f t="shared" si="143"/>
        <v>0</v>
      </c>
      <c r="P230" s="137"/>
      <c r="Q230" s="133">
        <f>SUM(Q229)</f>
        <v>0</v>
      </c>
      <c r="R230" s="138"/>
      <c r="S230" s="135">
        <f>SUM(S229)</f>
        <v>0</v>
      </c>
      <c r="T230" s="137"/>
      <c r="U230" s="139"/>
      <c r="V230" s="135">
        <f>SUM(V229)</f>
        <v>44770537</v>
      </c>
      <c r="W230" s="140"/>
      <c r="X230" s="141">
        <f>SUM(X229)</f>
        <v>0</v>
      </c>
      <c r="Y230" s="125">
        <f t="shared" si="144"/>
        <v>0</v>
      </c>
      <c r="Z230" s="126">
        <f t="shared" si="146"/>
        <v>0</v>
      </c>
      <c r="AA230" s="126">
        <f t="shared" si="145"/>
        <v>0</v>
      </c>
    </row>
    <row r="231" spans="1:27" s="87" customFormat="1" ht="13.5" customHeight="1">
      <c r="A231" s="109"/>
      <c r="B231" s="110">
        <v>22.2</v>
      </c>
      <c r="C231" s="90">
        <v>22.2</v>
      </c>
      <c r="D231" s="142" t="s">
        <v>245</v>
      </c>
      <c r="E231" s="143"/>
      <c r="F231" s="144"/>
      <c r="G231" s="145"/>
      <c r="H231" s="146"/>
      <c r="I231" s="117"/>
      <c r="J231" s="99"/>
      <c r="K231" s="118"/>
      <c r="L231" s="99"/>
      <c r="M231" s="118"/>
      <c r="N231" s="99"/>
      <c r="O231" s="100">
        <f t="shared" si="143"/>
        <v>0</v>
      </c>
      <c r="P231" s="119"/>
      <c r="Q231" s="120"/>
      <c r="R231" s="103"/>
      <c r="S231" s="104"/>
      <c r="T231" s="119"/>
      <c r="U231" s="121"/>
      <c r="V231" s="122"/>
      <c r="W231" s="147"/>
      <c r="X231" s="124"/>
      <c r="Y231" s="125">
        <f t="shared" si="144"/>
        <v>0</v>
      </c>
      <c r="Z231" s="126">
        <f t="shared" si="146"/>
        <v>0</v>
      </c>
      <c r="AA231" s="126">
        <f t="shared" si="145"/>
        <v>0</v>
      </c>
    </row>
    <row r="232" spans="1:27" s="87" customFormat="1" ht="13.5" customHeight="1">
      <c r="A232" s="109"/>
      <c r="B232" s="110"/>
      <c r="C232" s="111" t="s">
        <v>248</v>
      </c>
      <c r="D232" s="148" t="s">
        <v>247</v>
      </c>
      <c r="E232" s="113" t="s">
        <v>2</v>
      </c>
      <c r="F232" s="114">
        <v>376223</v>
      </c>
      <c r="G232" s="115">
        <v>136</v>
      </c>
      <c r="H232" s="116">
        <f>F232*G232</f>
        <v>51166328</v>
      </c>
      <c r="I232" s="117">
        <v>119</v>
      </c>
      <c r="J232" s="99">
        <f>+I232*F232</f>
        <v>44770537</v>
      </c>
      <c r="K232" s="118"/>
      <c r="L232" s="99">
        <f>+K232*F232</f>
        <v>0</v>
      </c>
      <c r="M232" s="118">
        <v>119</v>
      </c>
      <c r="N232" s="99">
        <f>+M232*F232</f>
        <v>44770537</v>
      </c>
      <c r="O232" s="100">
        <f t="shared" si="143"/>
        <v>0</v>
      </c>
      <c r="P232" s="119">
        <f>+I232-K232-M232</f>
        <v>0</v>
      </c>
      <c r="Q232" s="120">
        <f>+P232*F232</f>
        <v>0</v>
      </c>
      <c r="R232" s="103">
        <f>+I232-K232-M232-P232</f>
        <v>0</v>
      </c>
      <c r="S232" s="104">
        <f>+R232*F232</f>
        <v>0</v>
      </c>
      <c r="T232" s="119">
        <f>+K232+M232+O232+R232</f>
        <v>119</v>
      </c>
      <c r="U232" s="121"/>
      <c r="V232" s="122">
        <f>+T232*F232</f>
        <v>44770537</v>
      </c>
      <c r="W232" s="123">
        <f>+I232-T232</f>
        <v>0</v>
      </c>
      <c r="X232" s="124">
        <f>+W232*F232</f>
        <v>0</v>
      </c>
      <c r="Y232" s="125">
        <f t="shared" si="144"/>
        <v>0</v>
      </c>
      <c r="Z232" s="126">
        <f t="shared" si="146"/>
        <v>0</v>
      </c>
      <c r="AA232" s="126">
        <f t="shared" si="145"/>
        <v>0</v>
      </c>
    </row>
    <row r="233" spans="1:27" s="87" customFormat="1" ht="13.5" customHeight="1">
      <c r="A233" s="109"/>
      <c r="B233" s="110"/>
      <c r="C233" s="90"/>
      <c r="D233" s="129" t="s">
        <v>31</v>
      </c>
      <c r="E233" s="130"/>
      <c r="F233" s="131"/>
      <c r="G233" s="132"/>
      <c r="H233" s="133">
        <f>SUM(H232)</f>
        <v>51166328</v>
      </c>
      <c r="I233" s="134"/>
      <c r="J233" s="135">
        <f>SUM(J232)</f>
        <v>44770537</v>
      </c>
      <c r="K233" s="136"/>
      <c r="L233" s="135">
        <f>SUM(L232)</f>
        <v>0</v>
      </c>
      <c r="M233" s="136"/>
      <c r="N233" s="135">
        <f>SUM(N232)</f>
        <v>44770537</v>
      </c>
      <c r="O233" s="100">
        <f t="shared" si="143"/>
        <v>0</v>
      </c>
      <c r="P233" s="137"/>
      <c r="Q233" s="133">
        <f>SUM(Q232)</f>
        <v>0</v>
      </c>
      <c r="R233" s="138"/>
      <c r="S233" s="135">
        <f>SUM(S232)</f>
        <v>0</v>
      </c>
      <c r="T233" s="137"/>
      <c r="U233" s="139"/>
      <c r="V233" s="135">
        <f>SUM(V232)</f>
        <v>44770537</v>
      </c>
      <c r="W233" s="140"/>
      <c r="X233" s="141">
        <f>SUM(X232)</f>
        <v>0</v>
      </c>
      <c r="Y233" s="125">
        <f t="shared" si="144"/>
        <v>0</v>
      </c>
      <c r="Z233" s="126">
        <f t="shared" si="146"/>
        <v>0</v>
      </c>
      <c r="AA233" s="126">
        <f t="shared" si="145"/>
        <v>0</v>
      </c>
    </row>
    <row r="234" spans="1:27" s="87" customFormat="1" ht="13.5" customHeight="1">
      <c r="A234" s="109"/>
      <c r="B234" s="110"/>
      <c r="C234" s="90"/>
      <c r="D234" s="165" t="s">
        <v>249</v>
      </c>
      <c r="E234" s="143"/>
      <c r="F234" s="144"/>
      <c r="G234" s="145"/>
      <c r="H234" s="196">
        <f>+H222+H226+H230+H233</f>
        <v>146553828</v>
      </c>
      <c r="I234" s="184"/>
      <c r="J234" s="152">
        <f>+J222+J226+J230+J233</f>
        <v>133762246</v>
      </c>
      <c r="K234" s="153"/>
      <c r="L234" s="152">
        <f>+L222+L226+L230+L233</f>
        <v>0</v>
      </c>
      <c r="M234" s="153"/>
      <c r="N234" s="152">
        <f>+N222+N226+N230+N233</f>
        <v>116258903</v>
      </c>
      <c r="O234" s="100">
        <f t="shared" si="143"/>
        <v>0</v>
      </c>
      <c r="P234" s="119"/>
      <c r="Q234" s="151">
        <f>+Q222+Q226+Q230+Q233</f>
        <v>17503343</v>
      </c>
      <c r="R234" s="154"/>
      <c r="S234" s="152">
        <f>+S222+S226+S230+S233</f>
        <v>0</v>
      </c>
      <c r="T234" s="119"/>
      <c r="U234" s="121"/>
      <c r="V234" s="152">
        <f>+V222+V226+V230+V233</f>
        <v>133762246</v>
      </c>
      <c r="W234" s="147"/>
      <c r="X234" s="141">
        <f>+X222+X226+X230+X233</f>
        <v>0</v>
      </c>
      <c r="Y234" s="125">
        <f t="shared" si="144"/>
        <v>0</v>
      </c>
      <c r="Z234" s="126">
        <f>+X234-Y234</f>
        <v>0</v>
      </c>
      <c r="AA234" s="126">
        <f t="shared" si="145"/>
        <v>17503343</v>
      </c>
    </row>
    <row r="235" spans="1:27" s="87" customFormat="1" ht="13.5" customHeight="1">
      <c r="A235" s="109">
        <v>23</v>
      </c>
      <c r="B235" s="110"/>
      <c r="C235" s="90"/>
      <c r="D235" s="142" t="s">
        <v>250</v>
      </c>
      <c r="E235" s="143"/>
      <c r="F235" s="144"/>
      <c r="G235" s="145"/>
      <c r="H235" s="197"/>
      <c r="I235" s="117"/>
      <c r="J235" s="99"/>
      <c r="K235" s="118"/>
      <c r="L235" s="99"/>
      <c r="M235" s="118"/>
      <c r="N235" s="99"/>
      <c r="O235" s="100">
        <f t="shared" si="143"/>
        <v>0</v>
      </c>
      <c r="P235" s="119"/>
      <c r="Q235" s="120"/>
      <c r="R235" s="103"/>
      <c r="S235" s="104"/>
      <c r="T235" s="119"/>
      <c r="U235" s="121"/>
      <c r="V235" s="122"/>
      <c r="W235" s="147"/>
      <c r="X235" s="124"/>
      <c r="Y235" s="125">
        <f t="shared" si="144"/>
        <v>0</v>
      </c>
      <c r="Z235" s="126">
        <f aca="true" t="shared" si="147" ref="Z235:Z247">+X235-Y235</f>
        <v>0</v>
      </c>
      <c r="AA235" s="126">
        <f t="shared" si="145"/>
        <v>0</v>
      </c>
    </row>
    <row r="236" spans="1:27" s="87" customFormat="1" ht="13.5" customHeight="1">
      <c r="A236" s="109"/>
      <c r="B236" s="110"/>
      <c r="C236" s="111">
        <v>23.1</v>
      </c>
      <c r="D236" s="148" t="s">
        <v>251</v>
      </c>
      <c r="E236" s="113" t="s">
        <v>2</v>
      </c>
      <c r="F236" s="114">
        <v>1167487</v>
      </c>
      <c r="G236" s="115">
        <v>8</v>
      </c>
      <c r="H236" s="116">
        <f>F236*G236</f>
        <v>9339896</v>
      </c>
      <c r="I236" s="117">
        <v>10</v>
      </c>
      <c r="J236" s="99">
        <f>+I236*F236</f>
        <v>11674870</v>
      </c>
      <c r="K236" s="118"/>
      <c r="L236" s="99">
        <f>+K236*F236</f>
        <v>0</v>
      </c>
      <c r="M236" s="118">
        <v>4</v>
      </c>
      <c r="N236" s="99">
        <f>+M236*F236</f>
        <v>4669948</v>
      </c>
      <c r="O236" s="100">
        <f t="shared" si="143"/>
        <v>6</v>
      </c>
      <c r="P236" s="119">
        <f>+I236-K236-M236</f>
        <v>6</v>
      </c>
      <c r="Q236" s="120">
        <f>+P236*F236</f>
        <v>7004922</v>
      </c>
      <c r="R236" s="103">
        <f>+I236-K236-M236-P236</f>
        <v>0</v>
      </c>
      <c r="S236" s="104">
        <f>+R236*F236</f>
        <v>0</v>
      </c>
      <c r="T236" s="119">
        <f>+K236+M236+O236+R236</f>
        <v>10</v>
      </c>
      <c r="U236" s="121"/>
      <c r="V236" s="122">
        <f>+T236*F236</f>
        <v>11674870</v>
      </c>
      <c r="W236" s="123">
        <f>+I236-T236</f>
        <v>0</v>
      </c>
      <c r="X236" s="124">
        <f>+W236*F236</f>
        <v>0</v>
      </c>
      <c r="Y236" s="125">
        <f t="shared" si="144"/>
        <v>0</v>
      </c>
      <c r="Z236" s="126">
        <f t="shared" si="147"/>
        <v>0</v>
      </c>
      <c r="AA236" s="126">
        <f t="shared" si="145"/>
        <v>7004922</v>
      </c>
    </row>
    <row r="237" spans="1:27" s="87" customFormat="1" ht="13.5" customHeight="1">
      <c r="A237" s="109"/>
      <c r="B237" s="110"/>
      <c r="C237" s="111">
        <v>23.2</v>
      </c>
      <c r="D237" s="148" t="s">
        <v>305</v>
      </c>
      <c r="E237" s="113" t="s">
        <v>2</v>
      </c>
      <c r="F237" s="114">
        <v>708654</v>
      </c>
      <c r="G237" s="115">
        <v>19</v>
      </c>
      <c r="H237" s="116">
        <f>F237*G237</f>
        <v>13464426</v>
      </c>
      <c r="I237" s="117">
        <v>30</v>
      </c>
      <c r="J237" s="99">
        <f>+I237*F237</f>
        <v>21259620</v>
      </c>
      <c r="K237" s="118"/>
      <c r="L237" s="99">
        <f>+K237*F237</f>
        <v>0</v>
      </c>
      <c r="M237" s="118">
        <v>30</v>
      </c>
      <c r="N237" s="99">
        <f>+M237*F237</f>
        <v>21259620</v>
      </c>
      <c r="O237" s="100">
        <f t="shared" si="143"/>
        <v>0</v>
      </c>
      <c r="P237" s="119">
        <f>+I237-K237-M237</f>
        <v>0</v>
      </c>
      <c r="Q237" s="120">
        <f>+P237*F237</f>
        <v>0</v>
      </c>
      <c r="R237" s="103">
        <f>+I237-K237-M237-P237</f>
        <v>0</v>
      </c>
      <c r="S237" s="104">
        <f>+R237*F237</f>
        <v>0</v>
      </c>
      <c r="T237" s="119">
        <f>+K237+M237+O237+R237</f>
        <v>30</v>
      </c>
      <c r="U237" s="121"/>
      <c r="V237" s="122">
        <f>+T237*F237</f>
        <v>21259620</v>
      </c>
      <c r="W237" s="123">
        <f>+I237-T237</f>
        <v>0</v>
      </c>
      <c r="X237" s="124">
        <f>+W237*F237</f>
        <v>0</v>
      </c>
      <c r="Y237" s="125">
        <f t="shared" si="144"/>
        <v>0</v>
      </c>
      <c r="Z237" s="126">
        <f t="shared" si="147"/>
        <v>0</v>
      </c>
      <c r="AA237" s="126">
        <f t="shared" si="145"/>
        <v>0</v>
      </c>
    </row>
    <row r="238" spans="1:27" s="87" customFormat="1" ht="13.5" customHeight="1">
      <c r="A238" s="109"/>
      <c r="B238" s="110"/>
      <c r="C238" s="111">
        <v>23.3</v>
      </c>
      <c r="D238" s="148" t="s">
        <v>28</v>
      </c>
      <c r="E238" s="113" t="s">
        <v>2</v>
      </c>
      <c r="F238" s="114">
        <v>281670</v>
      </c>
      <c r="G238" s="115">
        <v>27</v>
      </c>
      <c r="H238" s="116">
        <f>F238*G238</f>
        <v>7605090</v>
      </c>
      <c r="I238" s="117">
        <v>31</v>
      </c>
      <c r="J238" s="99">
        <f>+I238*F238</f>
        <v>8731770</v>
      </c>
      <c r="K238" s="118"/>
      <c r="L238" s="99">
        <f>+K238*F238</f>
        <v>0</v>
      </c>
      <c r="M238" s="118">
        <v>30</v>
      </c>
      <c r="N238" s="99">
        <f>+M238*F238</f>
        <v>8450100</v>
      </c>
      <c r="O238" s="100">
        <f t="shared" si="143"/>
        <v>1</v>
      </c>
      <c r="P238" s="119">
        <f>+I238-K238-M238</f>
        <v>1</v>
      </c>
      <c r="Q238" s="120">
        <f>+P238*F238</f>
        <v>281670</v>
      </c>
      <c r="R238" s="103">
        <f>+I238-K238-M238-P238</f>
        <v>0</v>
      </c>
      <c r="S238" s="104">
        <f>+R238*F238</f>
        <v>0</v>
      </c>
      <c r="T238" s="119">
        <f>+K238+M238+O238+R238</f>
        <v>31</v>
      </c>
      <c r="U238" s="121"/>
      <c r="V238" s="122">
        <f>+T238*F238</f>
        <v>8731770</v>
      </c>
      <c r="W238" s="123">
        <f>+I238-T238</f>
        <v>0</v>
      </c>
      <c r="X238" s="124">
        <f>+W238*F238</f>
        <v>0</v>
      </c>
      <c r="Y238" s="125">
        <f t="shared" si="144"/>
        <v>0</v>
      </c>
      <c r="Z238" s="126">
        <f t="shared" si="147"/>
        <v>0</v>
      </c>
      <c r="AA238" s="126">
        <f t="shared" si="145"/>
        <v>281670</v>
      </c>
    </row>
    <row r="239" spans="1:27" s="87" customFormat="1" ht="13.5" customHeight="1">
      <c r="A239" s="109"/>
      <c r="B239" s="110"/>
      <c r="C239" s="111">
        <v>23.4</v>
      </c>
      <c r="D239" s="148" t="s">
        <v>306</v>
      </c>
      <c r="E239" s="113" t="s">
        <v>2</v>
      </c>
      <c r="F239" s="114">
        <v>211004</v>
      </c>
      <c r="G239" s="115">
        <v>14</v>
      </c>
      <c r="H239" s="116">
        <f>F239*G239</f>
        <v>2954056</v>
      </c>
      <c r="I239" s="117">
        <v>14</v>
      </c>
      <c r="J239" s="99">
        <f>+I239*F239</f>
        <v>2954056</v>
      </c>
      <c r="K239" s="118"/>
      <c r="L239" s="99">
        <f>+K239*F239</f>
        <v>0</v>
      </c>
      <c r="M239" s="118">
        <v>1</v>
      </c>
      <c r="N239" s="99">
        <f>+M239*F239</f>
        <v>211004</v>
      </c>
      <c r="O239" s="100">
        <f t="shared" si="143"/>
        <v>13</v>
      </c>
      <c r="P239" s="119">
        <f>+I239-K239-M239</f>
        <v>13</v>
      </c>
      <c r="Q239" s="120">
        <f>+P239*F239</f>
        <v>2743052</v>
      </c>
      <c r="R239" s="103">
        <f>+I239-K239-M239-P239</f>
        <v>0</v>
      </c>
      <c r="S239" s="104">
        <f>+R239*F239</f>
        <v>0</v>
      </c>
      <c r="T239" s="119">
        <f>+K239+M239+O239+R239</f>
        <v>14</v>
      </c>
      <c r="U239" s="121"/>
      <c r="V239" s="122">
        <f>+T239*F239</f>
        <v>2954056</v>
      </c>
      <c r="W239" s="123">
        <f>+I239-T239</f>
        <v>0</v>
      </c>
      <c r="X239" s="124">
        <f>+W239*F239</f>
        <v>0</v>
      </c>
      <c r="Y239" s="125">
        <f t="shared" si="144"/>
        <v>0</v>
      </c>
      <c r="Z239" s="126">
        <f t="shared" si="147"/>
        <v>0</v>
      </c>
      <c r="AA239" s="126">
        <f t="shared" si="145"/>
        <v>2743052</v>
      </c>
    </row>
    <row r="240" spans="1:27" s="87" customFormat="1" ht="13.5" customHeight="1">
      <c r="A240" s="109"/>
      <c r="B240" s="110"/>
      <c r="C240" s="111">
        <v>23.5</v>
      </c>
      <c r="D240" s="148" t="s">
        <v>252</v>
      </c>
      <c r="E240" s="113" t="s">
        <v>2</v>
      </c>
      <c r="F240" s="114">
        <v>217971</v>
      </c>
      <c r="G240" s="115">
        <v>93</v>
      </c>
      <c r="H240" s="116">
        <f>F240*G240</f>
        <v>20271303</v>
      </c>
      <c r="I240" s="117">
        <v>99</v>
      </c>
      <c r="J240" s="99">
        <f>+I240*F240</f>
        <v>21579129</v>
      </c>
      <c r="K240" s="118"/>
      <c r="L240" s="99">
        <f>+K240*F240</f>
        <v>0</v>
      </c>
      <c r="M240" s="118">
        <v>93</v>
      </c>
      <c r="N240" s="99">
        <f>+M240*F240</f>
        <v>20271303</v>
      </c>
      <c r="O240" s="100">
        <f t="shared" si="143"/>
        <v>6</v>
      </c>
      <c r="P240" s="119">
        <f>+I240-K240-M240</f>
        <v>6</v>
      </c>
      <c r="Q240" s="120">
        <f>+P240*F240</f>
        <v>1307826</v>
      </c>
      <c r="R240" s="103">
        <f>+I240-K240-M240-P240</f>
        <v>0</v>
      </c>
      <c r="S240" s="104">
        <f>+R240*F240</f>
        <v>0</v>
      </c>
      <c r="T240" s="119">
        <f>+K240+M240+O240+R240</f>
        <v>99</v>
      </c>
      <c r="U240" s="121"/>
      <c r="V240" s="122">
        <f>+T240*F240</f>
        <v>21579129</v>
      </c>
      <c r="W240" s="123">
        <f>+I240-T240</f>
        <v>0</v>
      </c>
      <c r="X240" s="124">
        <f>+W240*F240</f>
        <v>0</v>
      </c>
      <c r="Y240" s="125">
        <f t="shared" si="144"/>
        <v>0</v>
      </c>
      <c r="Z240" s="126">
        <f t="shared" si="147"/>
        <v>0</v>
      </c>
      <c r="AA240" s="126">
        <f t="shared" si="145"/>
        <v>1307826</v>
      </c>
    </row>
    <row r="241" spans="1:27" s="87" customFormat="1" ht="13.5" customHeight="1">
      <c r="A241" s="109"/>
      <c r="B241" s="110"/>
      <c r="C241" s="90"/>
      <c r="D241" s="129" t="s">
        <v>31</v>
      </c>
      <c r="E241" s="130"/>
      <c r="F241" s="131"/>
      <c r="G241" s="132"/>
      <c r="H241" s="198">
        <f>SUM(H236:H240)</f>
        <v>53634771</v>
      </c>
      <c r="I241" s="134"/>
      <c r="J241" s="135">
        <f>SUM(J236:J240)</f>
        <v>66199445</v>
      </c>
      <c r="K241" s="136"/>
      <c r="L241" s="135">
        <f>SUM(L236:L240)</f>
        <v>0</v>
      </c>
      <c r="M241" s="136"/>
      <c r="N241" s="135">
        <f>SUM(N236:N240)</f>
        <v>54861975</v>
      </c>
      <c r="O241" s="100">
        <f t="shared" si="143"/>
        <v>0</v>
      </c>
      <c r="P241" s="137"/>
      <c r="Q241" s="133">
        <f>SUM(Q236:Q240)</f>
        <v>11337470</v>
      </c>
      <c r="R241" s="138"/>
      <c r="S241" s="135">
        <f>SUM(S236:S240)</f>
        <v>0</v>
      </c>
      <c r="T241" s="137"/>
      <c r="U241" s="139"/>
      <c r="V241" s="135">
        <f>SUM(V236:V240)</f>
        <v>66199445</v>
      </c>
      <c r="W241" s="140"/>
      <c r="X241" s="141">
        <f>SUM(X236:X240)</f>
        <v>0</v>
      </c>
      <c r="Y241" s="125">
        <f t="shared" si="144"/>
        <v>0</v>
      </c>
      <c r="Z241" s="126">
        <f t="shared" si="147"/>
        <v>0</v>
      </c>
      <c r="AA241" s="126">
        <f t="shared" si="145"/>
        <v>11337470</v>
      </c>
    </row>
    <row r="242" spans="1:27" s="87" customFormat="1" ht="13.5" customHeight="1">
      <c r="A242" s="109">
        <v>24</v>
      </c>
      <c r="B242" s="110"/>
      <c r="C242" s="90"/>
      <c r="D242" s="142" t="s">
        <v>253</v>
      </c>
      <c r="E242" s="143"/>
      <c r="F242" s="144"/>
      <c r="G242" s="145"/>
      <c r="H242" s="199"/>
      <c r="I242" s="169"/>
      <c r="J242" s="99"/>
      <c r="K242" s="118"/>
      <c r="L242" s="99"/>
      <c r="M242" s="118"/>
      <c r="N242" s="99">
        <f aca="true" t="shared" si="148" ref="N242:N250">+M242*F242</f>
        <v>0</v>
      </c>
      <c r="O242" s="100">
        <f t="shared" si="143"/>
        <v>0</v>
      </c>
      <c r="P242" s="119"/>
      <c r="Q242" s="120"/>
      <c r="R242" s="103"/>
      <c r="S242" s="104"/>
      <c r="T242" s="119"/>
      <c r="U242" s="121"/>
      <c r="V242" s="122"/>
      <c r="W242" s="147"/>
      <c r="X242" s="124"/>
      <c r="Y242" s="125">
        <f t="shared" si="144"/>
        <v>0</v>
      </c>
      <c r="Z242" s="126">
        <f t="shared" si="147"/>
        <v>0</v>
      </c>
      <c r="AA242" s="126">
        <f t="shared" si="145"/>
        <v>0</v>
      </c>
    </row>
    <row r="243" spans="1:27" s="87" customFormat="1" ht="13.5" customHeight="1">
      <c r="A243" s="109"/>
      <c r="B243" s="110"/>
      <c r="C243" s="111">
        <v>24.1</v>
      </c>
      <c r="D243" s="148" t="s">
        <v>251</v>
      </c>
      <c r="E243" s="113" t="s">
        <v>2</v>
      </c>
      <c r="F243" s="114">
        <v>1167487</v>
      </c>
      <c r="G243" s="115">
        <v>1</v>
      </c>
      <c r="H243" s="116">
        <f aca="true" t="shared" si="149" ref="H243:H249">F243*G243</f>
        <v>1167487</v>
      </c>
      <c r="I243" s="103">
        <v>1</v>
      </c>
      <c r="J243" s="99">
        <f aca="true" t="shared" si="150" ref="J243:J250">+I243*F243</f>
        <v>1167487</v>
      </c>
      <c r="K243" s="118"/>
      <c r="L243" s="99">
        <f aca="true" t="shared" si="151" ref="L243:L250">+K243*F243</f>
        <v>0</v>
      </c>
      <c r="M243" s="118">
        <v>1</v>
      </c>
      <c r="N243" s="99">
        <f t="shared" si="148"/>
        <v>1167487</v>
      </c>
      <c r="O243" s="100">
        <f t="shared" si="143"/>
        <v>0</v>
      </c>
      <c r="P243" s="119">
        <f aca="true" t="shared" si="152" ref="P243:P250">+I243-K243-M243</f>
        <v>0</v>
      </c>
      <c r="Q243" s="120">
        <f aca="true" t="shared" si="153" ref="Q243:Q250">+P243*F243</f>
        <v>0</v>
      </c>
      <c r="R243" s="103">
        <f aca="true" t="shared" si="154" ref="R243:R250">+I243-K243-M243-P243</f>
        <v>0</v>
      </c>
      <c r="S243" s="104">
        <f aca="true" t="shared" si="155" ref="S243:S250">+R243*F243</f>
        <v>0</v>
      </c>
      <c r="T243" s="119">
        <f aca="true" t="shared" si="156" ref="T243:T250">+K243+M243+O243+R243</f>
        <v>1</v>
      </c>
      <c r="U243" s="121"/>
      <c r="V243" s="122">
        <f aca="true" t="shared" si="157" ref="V243:V250">+T243*F243</f>
        <v>1167487</v>
      </c>
      <c r="W243" s="123">
        <f aca="true" t="shared" si="158" ref="W243:W250">+I243-T243</f>
        <v>0</v>
      </c>
      <c r="X243" s="124">
        <f aca="true" t="shared" si="159" ref="X243:X250">+W243*F243</f>
        <v>0</v>
      </c>
      <c r="Y243" s="125">
        <f t="shared" si="144"/>
        <v>0</v>
      </c>
      <c r="Z243" s="126">
        <f t="shared" si="147"/>
        <v>0</v>
      </c>
      <c r="AA243" s="126">
        <f t="shared" si="145"/>
        <v>0</v>
      </c>
    </row>
    <row r="244" spans="1:27" s="87" customFormat="1" ht="13.5" customHeight="1">
      <c r="A244" s="109"/>
      <c r="B244" s="110"/>
      <c r="C244" s="111">
        <v>24.2</v>
      </c>
      <c r="D244" s="148" t="s">
        <v>307</v>
      </c>
      <c r="E244" s="113" t="s">
        <v>2</v>
      </c>
      <c r="F244" s="114">
        <v>569312</v>
      </c>
      <c r="G244" s="115">
        <v>18</v>
      </c>
      <c r="H244" s="116">
        <f t="shared" si="149"/>
        <v>10247616</v>
      </c>
      <c r="I244" s="103">
        <v>2</v>
      </c>
      <c r="J244" s="99">
        <f t="shared" si="150"/>
        <v>1138624</v>
      </c>
      <c r="K244" s="118"/>
      <c r="L244" s="99">
        <f t="shared" si="151"/>
        <v>0</v>
      </c>
      <c r="M244" s="118">
        <v>3</v>
      </c>
      <c r="N244" s="99">
        <f t="shared" si="148"/>
        <v>1707936</v>
      </c>
      <c r="O244" s="100">
        <f t="shared" si="143"/>
        <v>-1</v>
      </c>
      <c r="P244" s="119">
        <f t="shared" si="152"/>
        <v>-1</v>
      </c>
      <c r="Q244" s="120">
        <f t="shared" si="153"/>
        <v>-569312</v>
      </c>
      <c r="R244" s="103">
        <f t="shared" si="154"/>
        <v>0</v>
      </c>
      <c r="S244" s="104">
        <f t="shared" si="155"/>
        <v>0</v>
      </c>
      <c r="T244" s="119">
        <f t="shared" si="156"/>
        <v>2</v>
      </c>
      <c r="U244" s="121"/>
      <c r="V244" s="122">
        <f t="shared" si="157"/>
        <v>1138624</v>
      </c>
      <c r="W244" s="123">
        <f t="shared" si="158"/>
        <v>0</v>
      </c>
      <c r="X244" s="124">
        <f t="shared" si="159"/>
        <v>0</v>
      </c>
      <c r="Y244" s="125">
        <f t="shared" si="144"/>
        <v>0</v>
      </c>
      <c r="Z244" s="126">
        <f t="shared" si="147"/>
        <v>0</v>
      </c>
      <c r="AA244" s="126">
        <f t="shared" si="145"/>
        <v>-569312</v>
      </c>
    </row>
    <row r="245" spans="1:27" s="87" customFormat="1" ht="13.5" customHeight="1">
      <c r="A245" s="109"/>
      <c r="B245" s="110"/>
      <c r="C245" s="111">
        <v>24.3</v>
      </c>
      <c r="D245" s="148" t="s">
        <v>254</v>
      </c>
      <c r="E245" s="113" t="s">
        <v>2</v>
      </c>
      <c r="F245" s="114">
        <v>230910</v>
      </c>
      <c r="G245" s="115">
        <v>48</v>
      </c>
      <c r="H245" s="116">
        <f t="shared" si="149"/>
        <v>11083680</v>
      </c>
      <c r="I245" s="117">
        <v>48</v>
      </c>
      <c r="J245" s="99">
        <f t="shared" si="150"/>
        <v>11083680</v>
      </c>
      <c r="K245" s="118"/>
      <c r="L245" s="99">
        <f t="shared" si="151"/>
        <v>0</v>
      </c>
      <c r="M245" s="118">
        <v>48</v>
      </c>
      <c r="N245" s="99">
        <f t="shared" si="148"/>
        <v>11083680</v>
      </c>
      <c r="O245" s="100">
        <f t="shared" si="143"/>
        <v>0</v>
      </c>
      <c r="P245" s="119">
        <f t="shared" si="152"/>
        <v>0</v>
      </c>
      <c r="Q245" s="120">
        <f t="shared" si="153"/>
        <v>0</v>
      </c>
      <c r="R245" s="103">
        <f t="shared" si="154"/>
        <v>0</v>
      </c>
      <c r="S245" s="104">
        <f t="shared" si="155"/>
        <v>0</v>
      </c>
      <c r="T245" s="119">
        <f t="shared" si="156"/>
        <v>48</v>
      </c>
      <c r="U245" s="121"/>
      <c r="V245" s="122">
        <f t="shared" si="157"/>
        <v>11083680</v>
      </c>
      <c r="W245" s="123">
        <f t="shared" si="158"/>
        <v>0</v>
      </c>
      <c r="X245" s="124">
        <f t="shared" si="159"/>
        <v>0</v>
      </c>
      <c r="Y245" s="125">
        <f t="shared" si="144"/>
        <v>0</v>
      </c>
      <c r="Z245" s="126">
        <f t="shared" si="147"/>
        <v>0</v>
      </c>
      <c r="AA245" s="126">
        <f t="shared" si="145"/>
        <v>0</v>
      </c>
    </row>
    <row r="246" spans="1:27" s="87" customFormat="1" ht="13.5" customHeight="1">
      <c r="A246" s="109"/>
      <c r="B246" s="110"/>
      <c r="C246" s="111">
        <v>24.4</v>
      </c>
      <c r="D246" s="148" t="s">
        <v>28</v>
      </c>
      <c r="E246" s="113" t="s">
        <v>2</v>
      </c>
      <c r="F246" s="114">
        <v>281670</v>
      </c>
      <c r="G246" s="115">
        <v>17</v>
      </c>
      <c r="H246" s="116">
        <f t="shared" si="149"/>
        <v>4788390</v>
      </c>
      <c r="I246" s="117">
        <v>9</v>
      </c>
      <c r="J246" s="99">
        <f t="shared" si="150"/>
        <v>2535030</v>
      </c>
      <c r="K246" s="118"/>
      <c r="L246" s="99">
        <f t="shared" si="151"/>
        <v>0</v>
      </c>
      <c r="M246" s="118">
        <v>10</v>
      </c>
      <c r="N246" s="99">
        <f t="shared" si="148"/>
        <v>2816700</v>
      </c>
      <c r="O246" s="100">
        <f t="shared" si="143"/>
        <v>-1</v>
      </c>
      <c r="P246" s="119">
        <f t="shared" si="152"/>
        <v>-1</v>
      </c>
      <c r="Q246" s="120">
        <f t="shared" si="153"/>
        <v>-281670</v>
      </c>
      <c r="R246" s="103">
        <f t="shared" si="154"/>
        <v>0</v>
      </c>
      <c r="S246" s="104">
        <f t="shared" si="155"/>
        <v>0</v>
      </c>
      <c r="T246" s="119">
        <f t="shared" si="156"/>
        <v>9</v>
      </c>
      <c r="U246" s="121"/>
      <c r="V246" s="122">
        <f t="shared" si="157"/>
        <v>2535030</v>
      </c>
      <c r="W246" s="123">
        <f t="shared" si="158"/>
        <v>0</v>
      </c>
      <c r="X246" s="124">
        <f t="shared" si="159"/>
        <v>0</v>
      </c>
      <c r="Y246" s="125">
        <f t="shared" si="144"/>
        <v>0</v>
      </c>
      <c r="Z246" s="126">
        <f t="shared" si="147"/>
        <v>0</v>
      </c>
      <c r="AA246" s="126">
        <f t="shared" si="145"/>
        <v>-281670</v>
      </c>
    </row>
    <row r="247" spans="1:27" s="87" customFormat="1" ht="13.5" customHeight="1">
      <c r="A247" s="109"/>
      <c r="B247" s="110"/>
      <c r="C247" s="111">
        <v>24.5</v>
      </c>
      <c r="D247" s="148" t="s">
        <v>94</v>
      </c>
      <c r="E247" s="113" t="s">
        <v>2</v>
      </c>
      <c r="F247" s="114">
        <v>211004</v>
      </c>
      <c r="G247" s="115">
        <v>2</v>
      </c>
      <c r="H247" s="116">
        <f t="shared" si="149"/>
        <v>422008</v>
      </c>
      <c r="I247" s="117">
        <v>8</v>
      </c>
      <c r="J247" s="99">
        <f t="shared" si="150"/>
        <v>1688032</v>
      </c>
      <c r="K247" s="118"/>
      <c r="L247" s="99">
        <f t="shared" si="151"/>
        <v>0</v>
      </c>
      <c r="M247" s="118">
        <v>8</v>
      </c>
      <c r="N247" s="99">
        <f t="shared" si="148"/>
        <v>1688032</v>
      </c>
      <c r="O247" s="100">
        <f t="shared" si="143"/>
        <v>0</v>
      </c>
      <c r="P247" s="119">
        <f t="shared" si="152"/>
        <v>0</v>
      </c>
      <c r="Q247" s="120">
        <f t="shared" si="153"/>
        <v>0</v>
      </c>
      <c r="R247" s="103">
        <f t="shared" si="154"/>
        <v>0</v>
      </c>
      <c r="S247" s="104">
        <f t="shared" si="155"/>
        <v>0</v>
      </c>
      <c r="T247" s="119">
        <f t="shared" si="156"/>
        <v>8</v>
      </c>
      <c r="U247" s="121"/>
      <c r="V247" s="122">
        <f t="shared" si="157"/>
        <v>1688032</v>
      </c>
      <c r="W247" s="123">
        <f t="shared" si="158"/>
        <v>0</v>
      </c>
      <c r="X247" s="124">
        <f t="shared" si="159"/>
        <v>0</v>
      </c>
      <c r="Y247" s="125">
        <f t="shared" si="144"/>
        <v>0</v>
      </c>
      <c r="Z247" s="126">
        <f t="shared" si="147"/>
        <v>0</v>
      </c>
      <c r="AA247" s="126">
        <f t="shared" si="145"/>
        <v>0</v>
      </c>
    </row>
    <row r="248" spans="1:27" s="87" customFormat="1" ht="13.5" customHeight="1">
      <c r="A248" s="109"/>
      <c r="B248" s="110"/>
      <c r="C248" s="111">
        <v>24.6</v>
      </c>
      <c r="D248" s="148" t="s">
        <v>252</v>
      </c>
      <c r="E248" s="113" t="s">
        <v>2</v>
      </c>
      <c r="F248" s="114">
        <v>217971</v>
      </c>
      <c r="G248" s="115">
        <v>90</v>
      </c>
      <c r="H248" s="116">
        <f t="shared" si="149"/>
        <v>19617390</v>
      </c>
      <c r="I248" s="117">
        <v>112</v>
      </c>
      <c r="J248" s="99">
        <f t="shared" si="150"/>
        <v>24412752</v>
      </c>
      <c r="K248" s="118"/>
      <c r="L248" s="99">
        <f t="shared" si="151"/>
        <v>0</v>
      </c>
      <c r="M248" s="118">
        <v>106</v>
      </c>
      <c r="N248" s="99">
        <f t="shared" si="148"/>
        <v>23104926</v>
      </c>
      <c r="O248" s="100">
        <f t="shared" si="143"/>
        <v>6</v>
      </c>
      <c r="P248" s="119">
        <f t="shared" si="152"/>
        <v>6</v>
      </c>
      <c r="Q248" s="120">
        <f t="shared" si="153"/>
        <v>1307826</v>
      </c>
      <c r="R248" s="103">
        <f t="shared" si="154"/>
        <v>0</v>
      </c>
      <c r="S248" s="104">
        <f t="shared" si="155"/>
        <v>0</v>
      </c>
      <c r="T248" s="119">
        <f t="shared" si="156"/>
        <v>112</v>
      </c>
      <c r="U248" s="121"/>
      <c r="V248" s="122">
        <f t="shared" si="157"/>
        <v>24412752</v>
      </c>
      <c r="W248" s="123">
        <f t="shared" si="158"/>
        <v>0</v>
      </c>
      <c r="X248" s="124">
        <f t="shared" si="159"/>
        <v>0</v>
      </c>
      <c r="Y248" s="125">
        <f t="shared" si="144"/>
        <v>0</v>
      </c>
      <c r="Z248" s="126">
        <f>+X248-Y248</f>
        <v>0</v>
      </c>
      <c r="AA248" s="126">
        <f t="shared" si="145"/>
        <v>1307826</v>
      </c>
    </row>
    <row r="249" spans="1:27" s="87" customFormat="1" ht="13.5" customHeight="1">
      <c r="A249" s="109"/>
      <c r="B249" s="110"/>
      <c r="C249" s="158">
        <v>24.7</v>
      </c>
      <c r="D249" s="148" t="s">
        <v>308</v>
      </c>
      <c r="E249" s="160" t="s">
        <v>2</v>
      </c>
      <c r="F249" s="161">
        <v>176168</v>
      </c>
      <c r="G249" s="162">
        <v>114</v>
      </c>
      <c r="H249" s="163">
        <f t="shared" si="149"/>
        <v>20083152</v>
      </c>
      <c r="I249" s="117">
        <v>0</v>
      </c>
      <c r="J249" s="99">
        <f t="shared" si="150"/>
        <v>0</v>
      </c>
      <c r="K249" s="118"/>
      <c r="L249" s="99">
        <f t="shared" si="151"/>
        <v>0</v>
      </c>
      <c r="M249" s="118">
        <v>48</v>
      </c>
      <c r="N249" s="99">
        <f t="shared" si="148"/>
        <v>8456064</v>
      </c>
      <c r="O249" s="100">
        <f t="shared" si="143"/>
        <v>-48</v>
      </c>
      <c r="P249" s="119">
        <f t="shared" si="152"/>
        <v>-48</v>
      </c>
      <c r="Q249" s="120">
        <f t="shared" si="153"/>
        <v>-8456064</v>
      </c>
      <c r="R249" s="103">
        <f t="shared" si="154"/>
        <v>0</v>
      </c>
      <c r="S249" s="104">
        <f t="shared" si="155"/>
        <v>0</v>
      </c>
      <c r="T249" s="119">
        <f t="shared" si="156"/>
        <v>0</v>
      </c>
      <c r="U249" s="121"/>
      <c r="V249" s="122">
        <f t="shared" si="157"/>
        <v>0</v>
      </c>
      <c r="W249" s="123">
        <f t="shared" si="158"/>
        <v>0</v>
      </c>
      <c r="X249" s="124">
        <f t="shared" si="159"/>
        <v>0</v>
      </c>
      <c r="Y249" s="125">
        <f t="shared" si="144"/>
        <v>0</v>
      </c>
      <c r="Z249" s="126">
        <f aca="true" t="shared" si="160" ref="Z249:Z312">+X249-Y249</f>
        <v>0</v>
      </c>
      <c r="AA249" s="126">
        <f t="shared" si="145"/>
        <v>-8456064</v>
      </c>
    </row>
    <row r="250" spans="1:27" s="87" customFormat="1" ht="13.5" customHeight="1">
      <c r="A250" s="109"/>
      <c r="B250" s="110"/>
      <c r="C250" s="158"/>
      <c r="D250" s="148" t="s">
        <v>308</v>
      </c>
      <c r="E250" s="160" t="s">
        <v>2</v>
      </c>
      <c r="F250" s="161">
        <v>162234</v>
      </c>
      <c r="G250" s="162"/>
      <c r="H250" s="163"/>
      <c r="I250" s="117">
        <v>52</v>
      </c>
      <c r="J250" s="99">
        <f t="shared" si="150"/>
        <v>8436168</v>
      </c>
      <c r="K250" s="118"/>
      <c r="L250" s="99">
        <f t="shared" si="151"/>
        <v>0</v>
      </c>
      <c r="M250" s="118"/>
      <c r="N250" s="99">
        <f t="shared" si="148"/>
        <v>0</v>
      </c>
      <c r="O250" s="100">
        <f t="shared" si="143"/>
        <v>52</v>
      </c>
      <c r="P250" s="119">
        <f t="shared" si="152"/>
        <v>52</v>
      </c>
      <c r="Q250" s="120">
        <f t="shared" si="153"/>
        <v>8436168</v>
      </c>
      <c r="R250" s="103">
        <f t="shared" si="154"/>
        <v>0</v>
      </c>
      <c r="S250" s="104">
        <f t="shared" si="155"/>
        <v>0</v>
      </c>
      <c r="T250" s="119">
        <f t="shared" si="156"/>
        <v>52</v>
      </c>
      <c r="U250" s="121"/>
      <c r="V250" s="122">
        <f t="shared" si="157"/>
        <v>8436168</v>
      </c>
      <c r="W250" s="123">
        <f t="shared" si="158"/>
        <v>0</v>
      </c>
      <c r="X250" s="124">
        <f t="shared" si="159"/>
        <v>0</v>
      </c>
      <c r="Y250" s="125">
        <f t="shared" si="144"/>
        <v>0</v>
      </c>
      <c r="Z250" s="126">
        <f t="shared" si="160"/>
        <v>0</v>
      </c>
      <c r="AA250" s="126">
        <f t="shared" si="145"/>
        <v>8436168</v>
      </c>
    </row>
    <row r="251" spans="1:27" s="87" customFormat="1" ht="13.5" customHeight="1">
      <c r="A251" s="109"/>
      <c r="B251" s="110"/>
      <c r="C251" s="90"/>
      <c r="D251" s="129" t="s">
        <v>31</v>
      </c>
      <c r="E251" s="130"/>
      <c r="F251" s="131"/>
      <c r="G251" s="132"/>
      <c r="H251" s="198">
        <f>SUM(H243:H250)</f>
        <v>67409723</v>
      </c>
      <c r="I251" s="134"/>
      <c r="J251" s="200">
        <f>SUM(J243:J250)</f>
        <v>50461773</v>
      </c>
      <c r="K251" s="201"/>
      <c r="L251" s="200">
        <f>SUM(L243:L250)</f>
        <v>0</v>
      </c>
      <c r="M251" s="201"/>
      <c r="N251" s="200">
        <f>SUM(N243:N250)</f>
        <v>50024825</v>
      </c>
      <c r="O251" s="202"/>
      <c r="P251" s="137"/>
      <c r="Q251" s="198">
        <f>SUM(Q243:Q250)</f>
        <v>436948</v>
      </c>
      <c r="R251" s="203"/>
      <c r="S251" s="200">
        <f>SUM(S243:S250)</f>
        <v>0</v>
      </c>
      <c r="T251" s="137"/>
      <c r="U251" s="139"/>
      <c r="V251" s="198">
        <f>SUM(V243:V250)</f>
        <v>50461773</v>
      </c>
      <c r="W251" s="140"/>
      <c r="X251" s="141">
        <f>SUM(X243:X250)</f>
        <v>0</v>
      </c>
      <c r="Y251" s="125">
        <f t="shared" si="144"/>
        <v>0</v>
      </c>
      <c r="Z251" s="126">
        <f t="shared" si="160"/>
        <v>0</v>
      </c>
      <c r="AA251" s="126">
        <f t="shared" si="145"/>
        <v>436948</v>
      </c>
    </row>
    <row r="252" spans="1:27" s="87" customFormat="1" ht="13.5" customHeight="1" thickBot="1">
      <c r="A252" s="204"/>
      <c r="B252" s="205"/>
      <c r="C252" s="206"/>
      <c r="D252" s="207" t="s">
        <v>255</v>
      </c>
      <c r="E252" s="208"/>
      <c r="F252" s="209"/>
      <c r="G252" s="210"/>
      <c r="H252" s="211">
        <f>+H251+H241</f>
        <v>121044494</v>
      </c>
      <c r="I252" s="212"/>
      <c r="J252" s="213">
        <f>+J251+J241</f>
        <v>116661218</v>
      </c>
      <c r="K252" s="214"/>
      <c r="L252" s="213">
        <f>+L251+L241</f>
        <v>0</v>
      </c>
      <c r="M252" s="215"/>
      <c r="N252" s="213">
        <f>+N251+N241</f>
        <v>104886800</v>
      </c>
      <c r="O252" s="216"/>
      <c r="P252" s="217"/>
      <c r="Q252" s="211">
        <f>+Q251+Q241</f>
        <v>11774418</v>
      </c>
      <c r="R252" s="215"/>
      <c r="S252" s="213">
        <f>+S251+S241</f>
        <v>0</v>
      </c>
      <c r="T252" s="217"/>
      <c r="U252" s="218"/>
      <c r="V252" s="219">
        <f>+V251+V241</f>
        <v>116661218</v>
      </c>
      <c r="W252" s="220"/>
      <c r="X252" s="221">
        <f>+X251+X241</f>
        <v>0</v>
      </c>
      <c r="Y252" s="125">
        <f t="shared" si="144"/>
        <v>0</v>
      </c>
      <c r="Z252" s="126">
        <f t="shared" si="160"/>
        <v>0</v>
      </c>
      <c r="AA252" s="126">
        <f t="shared" si="145"/>
        <v>11774418</v>
      </c>
    </row>
    <row r="253" spans="1:27" s="239" customFormat="1" ht="14.25" customHeight="1" thickBot="1">
      <c r="A253" s="222"/>
      <c r="B253" s="223"/>
      <c r="C253" s="224"/>
      <c r="D253" s="633" t="s">
        <v>309</v>
      </c>
      <c r="E253" s="634"/>
      <c r="F253" s="225"/>
      <c r="G253" s="226"/>
      <c r="H253" s="227">
        <f>+H133+H190+H217+H234+H252</f>
        <v>1342573623.4199998</v>
      </c>
      <c r="I253" s="228"/>
      <c r="J253" s="229">
        <f>+J133+J190+J217+J234+J252</f>
        <v>1253484580.9789653</v>
      </c>
      <c r="K253" s="230"/>
      <c r="L253" s="231">
        <f>+L133+L190+L217+L234+L252</f>
        <v>266899980</v>
      </c>
      <c r="M253" s="230"/>
      <c r="N253" s="229">
        <f>+N133+N190+N217+N234+N252</f>
        <v>755031218.78</v>
      </c>
      <c r="O253" s="232"/>
      <c r="P253" s="233"/>
      <c r="Q253" s="234">
        <f>+Q133+Q190+Q217+Q234+Q252</f>
        <v>82673379.70896527</v>
      </c>
      <c r="R253" s="235"/>
      <c r="S253" s="229">
        <f>+S133+S190+S217+S234+S252</f>
        <v>154327295.08</v>
      </c>
      <c r="T253" s="233"/>
      <c r="U253" s="236"/>
      <c r="V253" s="229">
        <f>+V133+V190+V217+V234+V252</f>
        <v>1253484580.9789653</v>
      </c>
      <c r="W253" s="237"/>
      <c r="X253" s="238">
        <f>+X133+X190+X217+X234+X252</f>
        <v>0</v>
      </c>
      <c r="Y253" s="125">
        <f t="shared" si="144"/>
        <v>0</v>
      </c>
      <c r="Z253" s="126">
        <f t="shared" si="160"/>
        <v>0</v>
      </c>
      <c r="AA253" s="126"/>
    </row>
    <row r="254" spans="1:27" s="239" customFormat="1" ht="11.25" customHeight="1">
      <c r="A254" s="222"/>
      <c r="B254" s="223"/>
      <c r="C254" s="224"/>
      <c r="D254" s="240" t="s">
        <v>310</v>
      </c>
      <c r="E254" s="241" t="s">
        <v>311</v>
      </c>
      <c r="F254" s="242"/>
      <c r="G254" s="243"/>
      <c r="H254" s="244"/>
      <c r="I254" s="245"/>
      <c r="J254" s="246"/>
      <c r="K254" s="247"/>
      <c r="L254" s="248"/>
      <c r="M254" s="247"/>
      <c r="N254" s="246"/>
      <c r="O254" s="249"/>
      <c r="P254" s="250"/>
      <c r="Q254" s="244"/>
      <c r="R254" s="251"/>
      <c r="S254" s="252"/>
      <c r="T254" s="250"/>
      <c r="U254" s="243"/>
      <c r="V254" s="253"/>
      <c r="W254" s="245"/>
      <c r="X254" s="246"/>
      <c r="Y254" s="125">
        <f t="shared" si="144"/>
        <v>0</v>
      </c>
      <c r="Z254" s="126">
        <f t="shared" si="160"/>
        <v>0</v>
      </c>
      <c r="AA254" s="126"/>
    </row>
    <row r="255" spans="1:27" s="239" customFormat="1" ht="10.5" customHeight="1">
      <c r="A255" s="222"/>
      <c r="B255" s="223"/>
      <c r="C255" s="224"/>
      <c r="D255" s="254" t="s">
        <v>312</v>
      </c>
      <c r="E255" s="255" t="s">
        <v>311</v>
      </c>
      <c r="F255" s="256"/>
      <c r="G255" s="257"/>
      <c r="H255" s="258"/>
      <c r="I255" s="259"/>
      <c r="J255" s="260"/>
      <c r="K255" s="261"/>
      <c r="L255" s="260"/>
      <c r="M255" s="261"/>
      <c r="N255" s="260"/>
      <c r="O255" s="262"/>
      <c r="P255" s="261"/>
      <c r="Q255" s="258"/>
      <c r="R255" s="251"/>
      <c r="S255" s="252"/>
      <c r="T255" s="261"/>
      <c r="U255" s="257"/>
      <c r="V255" s="263"/>
      <c r="W255" s="259"/>
      <c r="X255" s="260"/>
      <c r="Y255" s="125">
        <f t="shared" si="144"/>
        <v>0</v>
      </c>
      <c r="Z255" s="126">
        <f t="shared" si="160"/>
        <v>0</v>
      </c>
      <c r="AA255" s="126"/>
    </row>
    <row r="256" spans="1:27" s="239" customFormat="1" ht="10.5" customHeight="1">
      <c r="A256" s="222"/>
      <c r="B256" s="223"/>
      <c r="C256" s="224"/>
      <c r="D256" s="254" t="s">
        <v>313</v>
      </c>
      <c r="E256" s="255" t="s">
        <v>311</v>
      </c>
      <c r="F256" s="256"/>
      <c r="G256" s="257"/>
      <c r="H256" s="258"/>
      <c r="I256" s="259"/>
      <c r="J256" s="260"/>
      <c r="K256" s="261"/>
      <c r="L256" s="260"/>
      <c r="M256" s="261"/>
      <c r="N256" s="260"/>
      <c r="O256" s="262"/>
      <c r="P256" s="261"/>
      <c r="Q256" s="258"/>
      <c r="R256" s="251"/>
      <c r="S256" s="252"/>
      <c r="T256" s="261"/>
      <c r="U256" s="257"/>
      <c r="V256" s="263"/>
      <c r="W256" s="259"/>
      <c r="X256" s="260"/>
      <c r="Y256" s="125">
        <f t="shared" si="144"/>
        <v>0</v>
      </c>
      <c r="Z256" s="126">
        <f t="shared" si="160"/>
        <v>0</v>
      </c>
      <c r="AA256" s="126"/>
    </row>
    <row r="257" spans="1:27" s="239" customFormat="1" ht="12" customHeight="1" thickBot="1">
      <c r="A257" s="222"/>
      <c r="B257" s="223"/>
      <c r="C257" s="224"/>
      <c r="D257" s="264" t="s">
        <v>314</v>
      </c>
      <c r="E257" s="265" t="s">
        <v>311</v>
      </c>
      <c r="F257" s="266">
        <v>16</v>
      </c>
      <c r="G257" s="267"/>
      <c r="H257" s="146">
        <f>+H253*16/100</f>
        <v>214811779.74719998</v>
      </c>
      <c r="I257" s="268"/>
      <c r="J257" s="269">
        <f>+J253*16/100</f>
        <v>200557532.95663443</v>
      </c>
      <c r="K257" s="270"/>
      <c r="L257" s="271">
        <f>+L253*16/100</f>
        <v>42703996.8</v>
      </c>
      <c r="M257" s="270"/>
      <c r="N257" s="269">
        <f>+N253*16/100</f>
        <v>120804995.00479999</v>
      </c>
      <c r="O257" s="272"/>
      <c r="P257" s="273"/>
      <c r="Q257" s="146">
        <f>+Q253*16/100</f>
        <v>13227740.753434444</v>
      </c>
      <c r="R257" s="274"/>
      <c r="S257" s="269">
        <f>+S253*16/100</f>
        <v>24692367.212800004</v>
      </c>
      <c r="T257" s="273"/>
      <c r="U257" s="267"/>
      <c r="V257" s="269">
        <f>+V253*16/100</f>
        <v>200557532.95663443</v>
      </c>
      <c r="W257" s="268"/>
      <c r="X257" s="221">
        <f>+X253*0.16</f>
        <v>0</v>
      </c>
      <c r="Y257" s="125">
        <f t="shared" si="144"/>
        <v>0</v>
      </c>
      <c r="Z257" s="126">
        <f t="shared" si="160"/>
        <v>0</v>
      </c>
      <c r="AA257" s="126"/>
    </row>
    <row r="258" spans="1:27" s="291" customFormat="1" ht="13.5" customHeight="1" thickBot="1">
      <c r="A258" s="275"/>
      <c r="B258" s="276"/>
      <c r="C258" s="277"/>
      <c r="D258" s="633" t="s">
        <v>315</v>
      </c>
      <c r="E258" s="634"/>
      <c r="F258" s="278"/>
      <c r="G258" s="226"/>
      <c r="H258" s="279">
        <f>+H257+H253</f>
        <v>1557385403.1671999</v>
      </c>
      <c r="I258" s="280"/>
      <c r="J258" s="281">
        <f>+J257+J253</f>
        <v>1454042113.9355998</v>
      </c>
      <c r="K258" s="282"/>
      <c r="L258" s="283">
        <f>+L257+L253</f>
        <v>309603976.8</v>
      </c>
      <c r="M258" s="282"/>
      <c r="N258" s="229">
        <f>+N257+N253</f>
        <v>875836213.7847999</v>
      </c>
      <c r="O258" s="284"/>
      <c r="P258" s="285"/>
      <c r="Q258" s="286">
        <f>+Q257+Q253</f>
        <v>95901120.46239972</v>
      </c>
      <c r="R258" s="287"/>
      <c r="S258" s="281">
        <f>+S257+S253</f>
        <v>179019662.2928</v>
      </c>
      <c r="T258" s="285"/>
      <c r="U258" s="288"/>
      <c r="V258" s="281">
        <f>+V257+V253</f>
        <v>1454042113.9355998</v>
      </c>
      <c r="W258" s="289"/>
      <c r="X258" s="290">
        <f>+X257+X253</f>
        <v>0</v>
      </c>
      <c r="Y258" s="125">
        <f t="shared" si="144"/>
        <v>0</v>
      </c>
      <c r="Z258" s="126">
        <f t="shared" si="160"/>
        <v>0</v>
      </c>
      <c r="AA258" s="126"/>
    </row>
    <row r="259" spans="1:27" s="291" customFormat="1" ht="9.75" customHeight="1" thickBot="1">
      <c r="A259" s="275"/>
      <c r="B259" s="276"/>
      <c r="C259" s="277"/>
      <c r="D259" s="292"/>
      <c r="E259" s="239"/>
      <c r="F259" s="239"/>
      <c r="G259" s="293"/>
      <c r="H259" s="239"/>
      <c r="I259" s="293"/>
      <c r="J259" s="293"/>
      <c r="K259" s="293"/>
      <c r="L259" s="293"/>
      <c r="M259" s="293"/>
      <c r="N259" s="293"/>
      <c r="O259" s="293"/>
      <c r="P259" s="294"/>
      <c r="Q259" s="293"/>
      <c r="R259" s="293"/>
      <c r="S259" s="293"/>
      <c r="T259" s="294"/>
      <c r="U259" s="295"/>
      <c r="V259" s="293"/>
      <c r="W259" s="294"/>
      <c r="X259" s="296"/>
      <c r="Y259" s="125">
        <f t="shared" si="144"/>
        <v>0</v>
      </c>
      <c r="Z259" s="126">
        <f t="shared" si="160"/>
        <v>0</v>
      </c>
      <c r="AA259" s="126">
        <f t="shared" si="145"/>
        <v>0</v>
      </c>
    </row>
    <row r="260" spans="1:27" s="291" customFormat="1" ht="16.5" customHeight="1" thickBot="1">
      <c r="A260" s="297"/>
      <c r="B260" s="298"/>
      <c r="C260" s="299"/>
      <c r="D260" s="300" t="s">
        <v>316</v>
      </c>
      <c r="E260" s="662"/>
      <c r="F260" s="663"/>
      <c r="G260" s="663"/>
      <c r="H260" s="663"/>
      <c r="I260" s="663"/>
      <c r="J260" s="663"/>
      <c r="K260" s="663"/>
      <c r="L260" s="663"/>
      <c r="M260" s="663"/>
      <c r="N260" s="663"/>
      <c r="O260" s="663"/>
      <c r="P260" s="663"/>
      <c r="Q260" s="663"/>
      <c r="R260" s="663"/>
      <c r="S260" s="663"/>
      <c r="T260" s="663"/>
      <c r="U260" s="663"/>
      <c r="V260" s="663"/>
      <c r="W260" s="663"/>
      <c r="X260" s="664"/>
      <c r="Y260" s="125">
        <f t="shared" si="144"/>
        <v>0</v>
      </c>
      <c r="Z260" s="126">
        <f t="shared" si="160"/>
        <v>0</v>
      </c>
      <c r="AA260" s="126">
        <f t="shared" si="145"/>
        <v>0</v>
      </c>
    </row>
    <row r="261" spans="1:27" s="291" customFormat="1" ht="15" customHeight="1">
      <c r="A261" s="109">
        <v>1</v>
      </c>
      <c r="B261" s="110"/>
      <c r="C261" s="301"/>
      <c r="D261" s="302" t="s">
        <v>317</v>
      </c>
      <c r="E261" s="303"/>
      <c r="F261" s="304"/>
      <c r="G261" s="305"/>
      <c r="H261" s="306"/>
      <c r="I261" s="307"/>
      <c r="J261" s="308"/>
      <c r="K261" s="309"/>
      <c r="L261" s="309"/>
      <c r="M261" s="309"/>
      <c r="N261" s="309"/>
      <c r="O261" s="309"/>
      <c r="P261" s="310"/>
      <c r="Q261" s="308"/>
      <c r="R261" s="311"/>
      <c r="S261" s="312"/>
      <c r="T261" s="313"/>
      <c r="U261" s="314"/>
      <c r="V261" s="308"/>
      <c r="W261" s="310"/>
      <c r="X261" s="315"/>
      <c r="Y261" s="125">
        <f t="shared" si="144"/>
        <v>0</v>
      </c>
      <c r="Z261" s="126">
        <f t="shared" si="160"/>
        <v>0</v>
      </c>
      <c r="AA261" s="126">
        <f t="shared" si="145"/>
        <v>0</v>
      </c>
    </row>
    <row r="262" spans="1:27" s="291" customFormat="1" ht="15" customHeight="1">
      <c r="A262" s="109"/>
      <c r="B262" s="110" t="s">
        <v>14</v>
      </c>
      <c r="C262" s="90"/>
      <c r="D262" s="316" t="s">
        <v>15</v>
      </c>
      <c r="E262" s="317"/>
      <c r="F262" s="318"/>
      <c r="G262" s="319"/>
      <c r="H262" s="320"/>
      <c r="I262" s="321"/>
      <c r="J262" s="322"/>
      <c r="K262" s="323"/>
      <c r="L262" s="323"/>
      <c r="M262" s="323"/>
      <c r="N262" s="323"/>
      <c r="O262" s="323"/>
      <c r="P262" s="324"/>
      <c r="Q262" s="322"/>
      <c r="R262" s="321"/>
      <c r="S262" s="322"/>
      <c r="T262" s="325"/>
      <c r="U262" s="326"/>
      <c r="V262" s="322"/>
      <c r="W262" s="324"/>
      <c r="X262" s="327"/>
      <c r="Y262" s="125">
        <f t="shared" si="144"/>
        <v>0</v>
      </c>
      <c r="Z262" s="126">
        <f t="shared" si="160"/>
        <v>0</v>
      </c>
      <c r="AA262" s="126">
        <f t="shared" si="145"/>
        <v>0</v>
      </c>
    </row>
    <row r="263" spans="1:27" s="346" customFormat="1" ht="21" customHeight="1">
      <c r="A263" s="328"/>
      <c r="B263" s="329"/>
      <c r="C263" s="90"/>
      <c r="D263" s="330" t="s">
        <v>318</v>
      </c>
      <c r="E263" s="331" t="s">
        <v>20</v>
      </c>
      <c r="F263" s="332">
        <v>368370</v>
      </c>
      <c r="G263" s="319"/>
      <c r="H263" s="333"/>
      <c r="I263" s="334">
        <v>0</v>
      </c>
      <c r="J263" s="335">
        <f>+I263*F263</f>
        <v>0</v>
      </c>
      <c r="K263" s="336"/>
      <c r="L263" s="337">
        <f aca="true" t="shared" si="161" ref="L263:L326">+K263*H263</f>
        <v>0</v>
      </c>
      <c r="M263" s="336">
        <v>5.31</v>
      </c>
      <c r="N263" s="338">
        <f>+M263*F263</f>
        <v>1956044.7</v>
      </c>
      <c r="O263" s="339">
        <f aca="true" t="shared" si="162" ref="O263:O326">+I263-K263-M263</f>
        <v>-5.31</v>
      </c>
      <c r="P263" s="340">
        <f>+I263-K263-M263</f>
        <v>-5.31</v>
      </c>
      <c r="Q263" s="338">
        <f>+P263*F263</f>
        <v>-1956044.7</v>
      </c>
      <c r="R263" s="334">
        <f>+I263-K263-M263-P263</f>
        <v>0</v>
      </c>
      <c r="S263" s="337">
        <f>+R263*F263</f>
        <v>0</v>
      </c>
      <c r="T263" s="340">
        <f>+K263+M263+O263+R263</f>
        <v>0</v>
      </c>
      <c r="U263" s="341"/>
      <c r="V263" s="342">
        <f>+T263*F263</f>
        <v>0</v>
      </c>
      <c r="W263" s="343">
        <f>+I263-T263</f>
        <v>0</v>
      </c>
      <c r="X263" s="344">
        <f>+W263*F263</f>
        <v>0</v>
      </c>
      <c r="Y263" s="125">
        <f t="shared" si="144"/>
        <v>0</v>
      </c>
      <c r="Z263" s="345">
        <f t="shared" si="160"/>
        <v>0</v>
      </c>
      <c r="AA263" s="345">
        <f t="shared" si="145"/>
        <v>-1956044.7</v>
      </c>
    </row>
    <row r="264" spans="1:27" s="355" customFormat="1" ht="15" customHeight="1">
      <c r="A264" s="170"/>
      <c r="B264" s="171"/>
      <c r="C264" s="347"/>
      <c r="D264" s="348" t="s">
        <v>319</v>
      </c>
      <c r="E264" s="349" t="s">
        <v>2</v>
      </c>
      <c r="F264" s="350">
        <v>3786200</v>
      </c>
      <c r="G264" s="351"/>
      <c r="H264" s="352"/>
      <c r="I264" s="190">
        <v>1</v>
      </c>
      <c r="J264" s="353">
        <f>+I264*F264</f>
        <v>3786200</v>
      </c>
      <c r="K264" s="354"/>
      <c r="L264" s="99">
        <f t="shared" si="161"/>
        <v>0</v>
      </c>
      <c r="M264" s="354"/>
      <c r="N264" s="99">
        <f>+M264*F264</f>
        <v>0</v>
      </c>
      <c r="O264" s="100">
        <f t="shared" si="162"/>
        <v>1</v>
      </c>
      <c r="P264" s="119">
        <f>+I264-K264-M264</f>
        <v>1</v>
      </c>
      <c r="Q264" s="176">
        <f>+P264*F264</f>
        <v>3786200</v>
      </c>
      <c r="R264" s="103">
        <f>+I264-K264-M264-P264</f>
        <v>0</v>
      </c>
      <c r="S264" s="104">
        <f>+R264*F264</f>
        <v>0</v>
      </c>
      <c r="T264" s="119">
        <f>+K264+M264+O264+R264</f>
        <v>1</v>
      </c>
      <c r="U264" s="178"/>
      <c r="V264" s="179">
        <f>+T264*F264</f>
        <v>3786200</v>
      </c>
      <c r="W264" s="123">
        <f>+I264-T264</f>
        <v>0</v>
      </c>
      <c r="X264" s="180">
        <f>+W264*F264</f>
        <v>0</v>
      </c>
      <c r="Y264" s="125">
        <f t="shared" si="144"/>
        <v>0</v>
      </c>
      <c r="Z264" s="195">
        <f t="shared" si="160"/>
        <v>0</v>
      </c>
      <c r="AA264" s="126">
        <f t="shared" si="145"/>
        <v>3786200</v>
      </c>
    </row>
    <row r="265" spans="1:27" s="355" customFormat="1" ht="15" customHeight="1">
      <c r="A265" s="170"/>
      <c r="B265" s="171"/>
      <c r="C265" s="347"/>
      <c r="D265" s="348" t="s">
        <v>320</v>
      </c>
      <c r="E265" s="349" t="s">
        <v>2</v>
      </c>
      <c r="F265" s="350">
        <v>62300</v>
      </c>
      <c r="G265" s="351"/>
      <c r="H265" s="352"/>
      <c r="I265" s="190">
        <v>2</v>
      </c>
      <c r="J265" s="353">
        <f>+I265*F265</f>
        <v>124600</v>
      </c>
      <c r="K265" s="354"/>
      <c r="L265" s="99">
        <f t="shared" si="161"/>
        <v>0</v>
      </c>
      <c r="M265" s="354"/>
      <c r="N265" s="99">
        <f>+M265*F265</f>
        <v>0</v>
      </c>
      <c r="O265" s="100">
        <f t="shared" si="162"/>
        <v>2</v>
      </c>
      <c r="P265" s="119">
        <f>+I265-K265-M265</f>
        <v>2</v>
      </c>
      <c r="Q265" s="176">
        <f>+P265*F265</f>
        <v>124600</v>
      </c>
      <c r="R265" s="103">
        <f>+I265-K265-M265-P265</f>
        <v>0</v>
      </c>
      <c r="S265" s="104">
        <f>+R265*F265</f>
        <v>0</v>
      </c>
      <c r="T265" s="119">
        <f>+K265+M265+O265+R265</f>
        <v>2</v>
      </c>
      <c r="U265" s="178"/>
      <c r="V265" s="179">
        <f>+T265*F265</f>
        <v>124600</v>
      </c>
      <c r="W265" s="123">
        <f>+I265-T265</f>
        <v>0</v>
      </c>
      <c r="X265" s="180">
        <f>+W265*F265</f>
        <v>0</v>
      </c>
      <c r="Y265" s="125">
        <f t="shared" si="144"/>
        <v>0</v>
      </c>
      <c r="Z265" s="195">
        <f t="shared" si="160"/>
        <v>0</v>
      </c>
      <c r="AA265" s="126">
        <f t="shared" si="145"/>
        <v>124600</v>
      </c>
    </row>
    <row r="266" spans="1:27" s="291" customFormat="1" ht="15" customHeight="1">
      <c r="A266" s="109"/>
      <c r="B266" s="110"/>
      <c r="C266" s="90"/>
      <c r="D266" s="356" t="s">
        <v>31</v>
      </c>
      <c r="E266" s="357"/>
      <c r="F266" s="358"/>
      <c r="G266" s="359"/>
      <c r="H266" s="360"/>
      <c r="I266" s="361"/>
      <c r="J266" s="362">
        <f>SUM(J263:J265)</f>
        <v>3910800</v>
      </c>
      <c r="K266" s="363"/>
      <c r="L266" s="362">
        <f>SUM(L263:L265)</f>
        <v>0</v>
      </c>
      <c r="M266" s="363"/>
      <c r="N266" s="362">
        <f>SUM(N263:N265)</f>
        <v>1956044.7</v>
      </c>
      <c r="O266" s="100">
        <f t="shared" si="162"/>
        <v>0</v>
      </c>
      <c r="P266" s="364"/>
      <c r="Q266" s="362">
        <f>SUM(Q263:Q265)</f>
        <v>1954755.3</v>
      </c>
      <c r="R266" s="365"/>
      <c r="S266" s="362">
        <f>SUM(S263:S265)</f>
        <v>0</v>
      </c>
      <c r="T266" s="364"/>
      <c r="U266" s="366"/>
      <c r="V266" s="362">
        <f>SUM(V263:V265)</f>
        <v>3910800</v>
      </c>
      <c r="W266" s="367"/>
      <c r="X266" s="141">
        <f>SUM(X263)</f>
        <v>0</v>
      </c>
      <c r="Y266" s="125">
        <f t="shared" si="144"/>
        <v>0</v>
      </c>
      <c r="Z266" s="126">
        <f t="shared" si="160"/>
        <v>0</v>
      </c>
      <c r="AA266" s="126">
        <f t="shared" si="145"/>
        <v>1954755.3</v>
      </c>
    </row>
    <row r="267" spans="1:27" s="291" customFormat="1" ht="15" customHeight="1">
      <c r="A267" s="109"/>
      <c r="B267" s="110"/>
      <c r="C267" s="90"/>
      <c r="D267" s="368" t="s">
        <v>321</v>
      </c>
      <c r="E267" s="369"/>
      <c r="F267" s="370"/>
      <c r="G267" s="319"/>
      <c r="H267" s="320"/>
      <c r="I267" s="103"/>
      <c r="J267" s="353"/>
      <c r="K267" s="354"/>
      <c r="L267" s="99"/>
      <c r="M267" s="354"/>
      <c r="N267" s="99"/>
      <c r="O267" s="100">
        <f t="shared" si="162"/>
        <v>0</v>
      </c>
      <c r="P267" s="325"/>
      <c r="Q267" s="322"/>
      <c r="R267" s="321"/>
      <c r="S267" s="322"/>
      <c r="T267" s="325"/>
      <c r="U267" s="326"/>
      <c r="V267" s="322"/>
      <c r="W267" s="371"/>
      <c r="X267" s="327"/>
      <c r="Y267" s="125">
        <f t="shared" si="144"/>
        <v>0</v>
      </c>
      <c r="Z267" s="126">
        <f t="shared" si="160"/>
        <v>0</v>
      </c>
      <c r="AA267" s="126">
        <f t="shared" si="145"/>
        <v>0</v>
      </c>
    </row>
    <row r="268" spans="1:27" s="355" customFormat="1" ht="15" customHeight="1">
      <c r="A268" s="170"/>
      <c r="B268" s="171" t="s">
        <v>21</v>
      </c>
      <c r="C268" s="347"/>
      <c r="D268" s="372" t="s">
        <v>322</v>
      </c>
      <c r="E268" s="373" t="s">
        <v>20</v>
      </c>
      <c r="F268" s="370">
        <v>368370</v>
      </c>
      <c r="G268" s="351"/>
      <c r="H268" s="352"/>
      <c r="I268" s="190">
        <v>1.58</v>
      </c>
      <c r="J268" s="353">
        <f aca="true" t="shared" si="163" ref="J268:J334">+I268*F268</f>
        <v>582024.6</v>
      </c>
      <c r="K268" s="354"/>
      <c r="L268" s="99">
        <f t="shared" si="161"/>
        <v>0</v>
      </c>
      <c r="M268" s="354">
        <v>1.43</v>
      </c>
      <c r="N268" s="99">
        <f>+M268*F268</f>
        <v>526769.1</v>
      </c>
      <c r="O268" s="100">
        <f t="shared" si="162"/>
        <v>0.15000000000000013</v>
      </c>
      <c r="P268" s="119">
        <f>+I268-K268-M268</f>
        <v>0.15000000000000013</v>
      </c>
      <c r="Q268" s="176">
        <f>+P268*F268</f>
        <v>55255.50000000005</v>
      </c>
      <c r="R268" s="103">
        <f>+I268-K268-M268-P268</f>
        <v>0</v>
      </c>
      <c r="S268" s="104">
        <f>+R268*F268</f>
        <v>0</v>
      </c>
      <c r="T268" s="119">
        <f>+K268+M268+O268+R268</f>
        <v>1.58</v>
      </c>
      <c r="U268" s="374"/>
      <c r="V268" s="179">
        <f>+T268*F268</f>
        <v>582024.6</v>
      </c>
      <c r="W268" s="123">
        <f>+I268-T268</f>
        <v>0</v>
      </c>
      <c r="X268" s="375">
        <f>+W268*F268</f>
        <v>0</v>
      </c>
      <c r="Y268" s="125">
        <f t="shared" si="144"/>
        <v>0</v>
      </c>
      <c r="Z268" s="126">
        <f t="shared" si="160"/>
        <v>0</v>
      </c>
      <c r="AA268" s="126">
        <f t="shared" si="145"/>
        <v>55255.50000000005</v>
      </c>
    </row>
    <row r="269" spans="1:27" s="291" customFormat="1" ht="15" customHeight="1">
      <c r="A269" s="109"/>
      <c r="B269" s="110"/>
      <c r="C269" s="90"/>
      <c r="D269" s="356" t="s">
        <v>31</v>
      </c>
      <c r="E269" s="357"/>
      <c r="F269" s="376"/>
      <c r="G269" s="359"/>
      <c r="H269" s="360"/>
      <c r="I269" s="361"/>
      <c r="J269" s="362">
        <f>SUM(J268)</f>
        <v>582024.6</v>
      </c>
      <c r="K269" s="363"/>
      <c r="L269" s="362">
        <f>SUM(L268)</f>
        <v>0</v>
      </c>
      <c r="M269" s="363"/>
      <c r="N269" s="362">
        <f>SUM(N268)</f>
        <v>526769.1</v>
      </c>
      <c r="O269" s="100">
        <f t="shared" si="162"/>
        <v>0</v>
      </c>
      <c r="P269" s="364"/>
      <c r="Q269" s="362">
        <f>SUM(Q268)</f>
        <v>55255.50000000005</v>
      </c>
      <c r="R269" s="365"/>
      <c r="S269" s="362">
        <f>SUM(S268)</f>
        <v>0</v>
      </c>
      <c r="T269" s="364"/>
      <c r="U269" s="366"/>
      <c r="V269" s="362">
        <f>SUM(V268)</f>
        <v>582024.6</v>
      </c>
      <c r="W269" s="367"/>
      <c r="X269" s="141">
        <f>SUM(X268)</f>
        <v>0</v>
      </c>
      <c r="Y269" s="125">
        <f t="shared" si="144"/>
        <v>0</v>
      </c>
      <c r="Z269" s="126">
        <f t="shared" si="160"/>
        <v>0</v>
      </c>
      <c r="AA269" s="126">
        <f t="shared" si="145"/>
        <v>55255.50000000005</v>
      </c>
    </row>
    <row r="270" spans="1:27" s="291" customFormat="1" ht="15" customHeight="1">
      <c r="A270" s="109">
        <v>2</v>
      </c>
      <c r="B270" s="110"/>
      <c r="C270" s="90"/>
      <c r="D270" s="368" t="s">
        <v>323</v>
      </c>
      <c r="E270" s="369"/>
      <c r="F270" s="370"/>
      <c r="G270" s="319"/>
      <c r="H270" s="320"/>
      <c r="I270" s="103"/>
      <c r="J270" s="353"/>
      <c r="K270" s="354"/>
      <c r="L270" s="99"/>
      <c r="M270" s="354"/>
      <c r="N270" s="99"/>
      <c r="O270" s="100">
        <f t="shared" si="162"/>
        <v>0</v>
      </c>
      <c r="P270" s="325"/>
      <c r="Q270" s="322"/>
      <c r="R270" s="103"/>
      <c r="S270" s="104"/>
      <c r="T270" s="325"/>
      <c r="U270" s="326"/>
      <c r="V270" s="322"/>
      <c r="W270" s="371"/>
      <c r="X270" s="327"/>
      <c r="Y270" s="125">
        <f t="shared" si="144"/>
        <v>0</v>
      </c>
      <c r="Z270" s="126">
        <f t="shared" si="160"/>
        <v>0</v>
      </c>
      <c r="AA270" s="126">
        <f t="shared" si="145"/>
        <v>0</v>
      </c>
    </row>
    <row r="271" spans="1:27" s="291" customFormat="1" ht="15" customHeight="1">
      <c r="A271" s="109"/>
      <c r="B271" s="110" t="s">
        <v>35</v>
      </c>
      <c r="C271" s="90"/>
      <c r="D271" s="368" t="s">
        <v>324</v>
      </c>
      <c r="E271" s="369"/>
      <c r="F271" s="370"/>
      <c r="G271" s="319"/>
      <c r="H271" s="320"/>
      <c r="I271" s="103"/>
      <c r="J271" s="353"/>
      <c r="K271" s="354"/>
      <c r="L271" s="99"/>
      <c r="M271" s="354"/>
      <c r="N271" s="99"/>
      <c r="O271" s="100">
        <f t="shared" si="162"/>
        <v>0</v>
      </c>
      <c r="P271" s="325"/>
      <c r="Q271" s="322"/>
      <c r="R271" s="103"/>
      <c r="S271" s="104"/>
      <c r="T271" s="325"/>
      <c r="U271" s="326"/>
      <c r="V271" s="322"/>
      <c r="W271" s="371"/>
      <c r="X271" s="327"/>
      <c r="Y271" s="125">
        <f t="shared" si="144"/>
        <v>0</v>
      </c>
      <c r="Z271" s="126">
        <f t="shared" si="160"/>
        <v>0</v>
      </c>
      <c r="AA271" s="126">
        <f t="shared" si="145"/>
        <v>0</v>
      </c>
    </row>
    <row r="272" spans="1:27" s="355" customFormat="1" ht="15" customHeight="1">
      <c r="A272" s="170"/>
      <c r="B272" s="171"/>
      <c r="C272" s="347"/>
      <c r="D272" s="372" t="s">
        <v>325</v>
      </c>
      <c r="E272" s="373" t="s">
        <v>20</v>
      </c>
      <c r="F272" s="377">
        <v>368370</v>
      </c>
      <c r="G272" s="378"/>
      <c r="H272" s="352"/>
      <c r="I272" s="379">
        <v>4.15</v>
      </c>
      <c r="J272" s="353">
        <f t="shared" si="163"/>
        <v>1528735.5000000002</v>
      </c>
      <c r="K272" s="354"/>
      <c r="L272" s="99">
        <f t="shared" si="161"/>
        <v>0</v>
      </c>
      <c r="M272" s="354">
        <v>5.31</v>
      </c>
      <c r="N272" s="99">
        <f>+M272*F272</f>
        <v>1956044.7</v>
      </c>
      <c r="O272" s="100">
        <f t="shared" si="162"/>
        <v>-1.1599999999999993</v>
      </c>
      <c r="P272" s="119">
        <f>+I272-K272-M272</f>
        <v>-1.1599999999999993</v>
      </c>
      <c r="Q272" s="176">
        <f>+P272*F272</f>
        <v>-427309.1999999997</v>
      </c>
      <c r="R272" s="103">
        <f>+I272-K272-M272-P272</f>
        <v>0</v>
      </c>
      <c r="S272" s="104">
        <f>+R272*F272</f>
        <v>0</v>
      </c>
      <c r="T272" s="119">
        <f>+K272+M272+O272+R272</f>
        <v>4.15</v>
      </c>
      <c r="U272" s="374"/>
      <c r="V272" s="179">
        <f>+T272*F272</f>
        <v>1528735.5000000002</v>
      </c>
      <c r="W272" s="123">
        <f>+I272-T272</f>
        <v>0</v>
      </c>
      <c r="X272" s="375">
        <f>+W272*F272</f>
        <v>0</v>
      </c>
      <c r="Y272" s="125">
        <f t="shared" si="144"/>
        <v>0</v>
      </c>
      <c r="Z272" s="126">
        <f t="shared" si="160"/>
        <v>0</v>
      </c>
      <c r="AA272" s="126">
        <f t="shared" si="145"/>
        <v>-427309.1999999997</v>
      </c>
    </row>
    <row r="273" spans="1:27" s="291" customFormat="1" ht="15" customHeight="1">
      <c r="A273" s="109"/>
      <c r="B273" s="110"/>
      <c r="C273" s="90"/>
      <c r="D273" s="356" t="s">
        <v>31</v>
      </c>
      <c r="E273" s="357"/>
      <c r="F273" s="376"/>
      <c r="G273" s="359"/>
      <c r="H273" s="360"/>
      <c r="I273" s="361"/>
      <c r="J273" s="362">
        <f>SUM(J272)</f>
        <v>1528735.5000000002</v>
      </c>
      <c r="K273" s="363"/>
      <c r="L273" s="362">
        <f>SUM(L272)</f>
        <v>0</v>
      </c>
      <c r="M273" s="363"/>
      <c r="N273" s="362">
        <f>SUM(N272)</f>
        <v>1956044.7</v>
      </c>
      <c r="O273" s="100">
        <f t="shared" si="162"/>
        <v>0</v>
      </c>
      <c r="P273" s="364"/>
      <c r="Q273" s="362">
        <f>SUM(Q272)</f>
        <v>-427309.1999999997</v>
      </c>
      <c r="R273" s="365"/>
      <c r="S273" s="362">
        <f>SUM(S272)</f>
        <v>0</v>
      </c>
      <c r="T273" s="364"/>
      <c r="U273" s="366"/>
      <c r="V273" s="362">
        <f>SUM(V272)</f>
        <v>1528735.5000000002</v>
      </c>
      <c r="W273" s="367"/>
      <c r="X273" s="141">
        <f>SUM(X272)</f>
        <v>0</v>
      </c>
      <c r="Y273" s="125">
        <f t="shared" si="144"/>
        <v>0</v>
      </c>
      <c r="Z273" s="126">
        <f t="shared" si="160"/>
        <v>0</v>
      </c>
      <c r="AA273" s="126">
        <f t="shared" si="145"/>
        <v>-427309.1999999997</v>
      </c>
    </row>
    <row r="274" spans="1:27" s="291" customFormat="1" ht="22.5" customHeight="1">
      <c r="A274" s="109">
        <v>3</v>
      </c>
      <c r="B274" s="110"/>
      <c r="C274" s="90"/>
      <c r="D274" s="380" t="s">
        <v>326</v>
      </c>
      <c r="E274" s="381"/>
      <c r="F274" s="382"/>
      <c r="G274" s="319"/>
      <c r="H274" s="320"/>
      <c r="I274" s="103"/>
      <c r="J274" s="353"/>
      <c r="K274" s="354"/>
      <c r="L274" s="99"/>
      <c r="M274" s="354"/>
      <c r="N274" s="99"/>
      <c r="O274" s="100">
        <f t="shared" si="162"/>
        <v>0</v>
      </c>
      <c r="P274" s="325"/>
      <c r="Q274" s="322"/>
      <c r="R274" s="103">
        <f>+I274-K274-M274-P274</f>
        <v>0</v>
      </c>
      <c r="S274" s="322"/>
      <c r="T274" s="325"/>
      <c r="U274" s="326"/>
      <c r="V274" s="322"/>
      <c r="W274" s="371"/>
      <c r="X274" s="327"/>
      <c r="Y274" s="125">
        <f t="shared" si="144"/>
        <v>0</v>
      </c>
      <c r="Z274" s="126">
        <f t="shared" si="160"/>
        <v>0</v>
      </c>
      <c r="AA274" s="126">
        <f t="shared" si="145"/>
        <v>0</v>
      </c>
    </row>
    <row r="275" spans="1:27" s="355" customFormat="1" ht="15" customHeight="1">
      <c r="A275" s="170"/>
      <c r="B275" s="171"/>
      <c r="C275" s="347"/>
      <c r="D275" s="383" t="s">
        <v>327</v>
      </c>
      <c r="E275" s="384" t="s">
        <v>2</v>
      </c>
      <c r="F275" s="385">
        <v>380000</v>
      </c>
      <c r="G275" s="378"/>
      <c r="H275" s="352"/>
      <c r="I275" s="379">
        <v>1</v>
      </c>
      <c r="J275" s="353">
        <f t="shared" si="163"/>
        <v>380000</v>
      </c>
      <c r="K275" s="354"/>
      <c r="L275" s="99">
        <f t="shared" si="161"/>
        <v>0</v>
      </c>
      <c r="M275" s="354">
        <v>1</v>
      </c>
      <c r="N275" s="99">
        <f>+M275*F275</f>
        <v>380000</v>
      </c>
      <c r="O275" s="100">
        <f t="shared" si="162"/>
        <v>0</v>
      </c>
      <c r="P275" s="119">
        <f>+I275-K275-M275</f>
        <v>0</v>
      </c>
      <c r="Q275" s="176">
        <f>+P275*F275</f>
        <v>0</v>
      </c>
      <c r="R275" s="103">
        <f>+I275-K275-M275-P275</f>
        <v>0</v>
      </c>
      <c r="S275" s="104">
        <f>+R275*F275</f>
        <v>0</v>
      </c>
      <c r="T275" s="119">
        <f>+K275+M275+O275+R275</f>
        <v>1</v>
      </c>
      <c r="U275" s="374"/>
      <c r="V275" s="179">
        <f>+T275*F275</f>
        <v>380000</v>
      </c>
      <c r="W275" s="123">
        <v>0</v>
      </c>
      <c r="X275" s="375">
        <f>+W275*F275</f>
        <v>0</v>
      </c>
      <c r="Y275" s="125">
        <f aca="true" t="shared" si="164" ref="Y275:Y338">+J275-V275</f>
        <v>0</v>
      </c>
      <c r="Z275" s="195">
        <f t="shared" si="160"/>
        <v>0</v>
      </c>
      <c r="AA275" s="126">
        <f aca="true" t="shared" si="165" ref="AA275:AA338">+Q275</f>
        <v>0</v>
      </c>
    </row>
    <row r="276" spans="1:27" s="355" customFormat="1" ht="15" customHeight="1">
      <c r="A276" s="170"/>
      <c r="B276" s="171" t="s">
        <v>129</v>
      </c>
      <c r="C276" s="347"/>
      <c r="D276" s="383" t="s">
        <v>328</v>
      </c>
      <c r="E276" s="384" t="s">
        <v>2</v>
      </c>
      <c r="F276" s="385">
        <v>211004</v>
      </c>
      <c r="G276" s="378"/>
      <c r="H276" s="352"/>
      <c r="I276" s="379">
        <v>6</v>
      </c>
      <c r="J276" s="353">
        <f t="shared" si="163"/>
        <v>1266024</v>
      </c>
      <c r="K276" s="354"/>
      <c r="L276" s="99">
        <f t="shared" si="161"/>
        <v>0</v>
      </c>
      <c r="M276" s="354"/>
      <c r="N276" s="99">
        <f>+M276*F276</f>
        <v>0</v>
      </c>
      <c r="O276" s="100">
        <f t="shared" si="162"/>
        <v>6</v>
      </c>
      <c r="P276" s="119">
        <f>+I276-K276-M276</f>
        <v>6</v>
      </c>
      <c r="Q276" s="176">
        <f>+P276*F276</f>
        <v>1266024</v>
      </c>
      <c r="R276" s="103">
        <f>+I276-K276-M276-P276</f>
        <v>0</v>
      </c>
      <c r="S276" s="104">
        <f>+R276*F276</f>
        <v>0</v>
      </c>
      <c r="T276" s="119">
        <f>+K276+M276+O276+R276</f>
        <v>6</v>
      </c>
      <c r="U276" s="374"/>
      <c r="V276" s="179">
        <f>+T276*F276</f>
        <v>1266024</v>
      </c>
      <c r="W276" s="123">
        <f>+I276-T276</f>
        <v>0</v>
      </c>
      <c r="X276" s="375">
        <f>+W276*F276</f>
        <v>0</v>
      </c>
      <c r="Y276" s="125">
        <f t="shared" si="164"/>
        <v>0</v>
      </c>
      <c r="Z276" s="195">
        <f t="shared" si="160"/>
        <v>0</v>
      </c>
      <c r="AA276" s="126">
        <f t="shared" si="165"/>
        <v>1266024</v>
      </c>
    </row>
    <row r="277" spans="1:27" s="346" customFormat="1" ht="23.25" customHeight="1">
      <c r="A277" s="328"/>
      <c r="B277" s="329"/>
      <c r="C277" s="90"/>
      <c r="D277" s="386" t="s">
        <v>329</v>
      </c>
      <c r="E277" s="369" t="s">
        <v>2</v>
      </c>
      <c r="F277" s="387">
        <v>1075035</v>
      </c>
      <c r="G277" s="319"/>
      <c r="H277" s="333"/>
      <c r="I277" s="388">
        <v>1</v>
      </c>
      <c r="J277" s="335">
        <f t="shared" si="163"/>
        <v>1075035</v>
      </c>
      <c r="K277" s="336"/>
      <c r="L277" s="338">
        <f t="shared" si="161"/>
        <v>0</v>
      </c>
      <c r="M277" s="336"/>
      <c r="N277" s="338">
        <f>+M277*F277</f>
        <v>0</v>
      </c>
      <c r="O277" s="339">
        <f t="shared" si="162"/>
        <v>1</v>
      </c>
      <c r="P277" s="340">
        <f>+I277-K277-M277</f>
        <v>1</v>
      </c>
      <c r="Q277" s="338">
        <f>+P277*F277</f>
        <v>1075035</v>
      </c>
      <c r="R277" s="334">
        <f>+I277-K277-M277-P277</f>
        <v>0</v>
      </c>
      <c r="S277" s="337">
        <f>+R277*F277</f>
        <v>0</v>
      </c>
      <c r="T277" s="340">
        <f>+K277+M277+O277+R277</f>
        <v>1</v>
      </c>
      <c r="U277" s="389"/>
      <c r="V277" s="342">
        <f>+T277*F277</f>
        <v>1075035</v>
      </c>
      <c r="W277" s="343">
        <f>+I277-T277</f>
        <v>0</v>
      </c>
      <c r="X277" s="390">
        <f>+W277*F277</f>
        <v>0</v>
      </c>
      <c r="Y277" s="125">
        <f t="shared" si="164"/>
        <v>0</v>
      </c>
      <c r="Z277" s="345">
        <f t="shared" si="160"/>
        <v>0</v>
      </c>
      <c r="AA277" s="345">
        <f t="shared" si="165"/>
        <v>1075035</v>
      </c>
    </row>
    <row r="278" spans="1:27" s="291" customFormat="1" ht="21.75" customHeight="1">
      <c r="A278" s="109"/>
      <c r="B278" s="110"/>
      <c r="C278" s="90"/>
      <c r="D278" s="356" t="s">
        <v>31</v>
      </c>
      <c r="E278" s="357"/>
      <c r="F278" s="376"/>
      <c r="G278" s="359"/>
      <c r="H278" s="360"/>
      <c r="I278" s="361"/>
      <c r="J278" s="362">
        <f>SUM(J275:J277)</f>
        <v>2721059</v>
      </c>
      <c r="K278" s="363"/>
      <c r="L278" s="362">
        <f>SUM(L275:L277)</f>
        <v>0</v>
      </c>
      <c r="M278" s="363"/>
      <c r="N278" s="362">
        <f>SUM(N275:N277)</f>
        <v>380000</v>
      </c>
      <c r="O278" s="100">
        <f t="shared" si="162"/>
        <v>0</v>
      </c>
      <c r="P278" s="364"/>
      <c r="Q278" s="362">
        <f>SUM(Q275:Q277)</f>
        <v>2341059</v>
      </c>
      <c r="R278" s="365"/>
      <c r="S278" s="362">
        <f>SUM(S275:S277)</f>
        <v>0</v>
      </c>
      <c r="T278" s="364"/>
      <c r="U278" s="366"/>
      <c r="V278" s="362">
        <f>SUM(V275:V277)</f>
        <v>2721059</v>
      </c>
      <c r="W278" s="367"/>
      <c r="X278" s="141">
        <f>SUM(X275:X277)</f>
        <v>0</v>
      </c>
      <c r="Y278" s="125">
        <f t="shared" si="164"/>
        <v>0</v>
      </c>
      <c r="Z278" s="126">
        <f t="shared" si="160"/>
        <v>0</v>
      </c>
      <c r="AA278" s="126">
        <f t="shared" si="165"/>
        <v>2341059</v>
      </c>
    </row>
    <row r="279" spans="1:27" s="291" customFormat="1" ht="22.5" customHeight="1">
      <c r="A279" s="109">
        <v>7</v>
      </c>
      <c r="B279" s="110"/>
      <c r="C279" s="90"/>
      <c r="D279" s="380" t="s">
        <v>299</v>
      </c>
      <c r="E279" s="381"/>
      <c r="F279" s="382"/>
      <c r="G279" s="319"/>
      <c r="H279" s="320"/>
      <c r="I279" s="103"/>
      <c r="J279" s="353"/>
      <c r="K279" s="354"/>
      <c r="L279" s="99"/>
      <c r="M279" s="354"/>
      <c r="N279" s="99"/>
      <c r="O279" s="100">
        <f t="shared" si="162"/>
        <v>0</v>
      </c>
      <c r="P279" s="325"/>
      <c r="Q279" s="322"/>
      <c r="R279" s="321"/>
      <c r="S279" s="322"/>
      <c r="T279" s="325"/>
      <c r="U279" s="326"/>
      <c r="V279" s="322"/>
      <c r="W279" s="371"/>
      <c r="X279" s="327"/>
      <c r="Y279" s="125">
        <f t="shared" si="164"/>
        <v>0</v>
      </c>
      <c r="Z279" s="126">
        <f t="shared" si="160"/>
        <v>0</v>
      </c>
      <c r="AA279" s="126">
        <f t="shared" si="165"/>
        <v>0</v>
      </c>
    </row>
    <row r="280" spans="1:27" s="355" customFormat="1" ht="15" customHeight="1">
      <c r="A280" s="109"/>
      <c r="B280" s="110"/>
      <c r="C280" s="391" t="s">
        <v>330</v>
      </c>
      <c r="D280" s="372" t="s">
        <v>331</v>
      </c>
      <c r="E280" s="373" t="s">
        <v>20</v>
      </c>
      <c r="F280" s="385">
        <v>428974</v>
      </c>
      <c r="G280" s="378"/>
      <c r="H280" s="352"/>
      <c r="I280" s="379">
        <v>40.4</v>
      </c>
      <c r="J280" s="353">
        <f>+I280*F280</f>
        <v>17330549.599999998</v>
      </c>
      <c r="K280" s="354"/>
      <c r="L280" s="99">
        <f t="shared" si="161"/>
        <v>0</v>
      </c>
      <c r="M280" s="354">
        <v>24.5</v>
      </c>
      <c r="N280" s="99">
        <f>+M280*F280</f>
        <v>10509863</v>
      </c>
      <c r="O280" s="100">
        <f t="shared" si="162"/>
        <v>15.899999999999999</v>
      </c>
      <c r="P280" s="119">
        <v>15.895578867542973</v>
      </c>
      <c r="Q280" s="99">
        <f>+P280*F280</f>
        <v>6818790.049125379</v>
      </c>
      <c r="R280" s="103">
        <f>+I280-K280-M280-P280</f>
        <v>0.004421132457025578</v>
      </c>
      <c r="S280" s="104">
        <f>+R280*F280</f>
        <v>1896.5508746200903</v>
      </c>
      <c r="T280" s="119">
        <f>+K280+M280+O280+R280</f>
        <v>40.404421132457024</v>
      </c>
      <c r="U280" s="374"/>
      <c r="V280" s="122">
        <f>+J280</f>
        <v>17330549.599999998</v>
      </c>
      <c r="W280" s="123">
        <f>+I280-T280</f>
        <v>-0.004421132457025578</v>
      </c>
      <c r="X280" s="375">
        <v>0</v>
      </c>
      <c r="Y280" s="125">
        <f t="shared" si="164"/>
        <v>0</v>
      </c>
      <c r="Z280" s="126">
        <f t="shared" si="160"/>
        <v>0</v>
      </c>
      <c r="AA280" s="126">
        <f t="shared" si="165"/>
        <v>6818790.049125379</v>
      </c>
    </row>
    <row r="281" spans="1:27" s="355" customFormat="1" ht="15" customHeight="1">
      <c r="A281" s="109"/>
      <c r="B281" s="110"/>
      <c r="C281" s="90"/>
      <c r="D281" s="372" t="s">
        <v>332</v>
      </c>
      <c r="E281" s="373" t="s">
        <v>2</v>
      </c>
      <c r="F281" s="377">
        <v>890394</v>
      </c>
      <c r="G281" s="378"/>
      <c r="H281" s="352"/>
      <c r="I281" s="379">
        <v>2</v>
      </c>
      <c r="J281" s="353">
        <f>+I281*F281</f>
        <v>1780788</v>
      </c>
      <c r="K281" s="354"/>
      <c r="L281" s="99">
        <f t="shared" si="161"/>
        <v>0</v>
      </c>
      <c r="M281" s="354"/>
      <c r="N281" s="99">
        <f>+M281*F281</f>
        <v>0</v>
      </c>
      <c r="O281" s="100">
        <f t="shared" si="162"/>
        <v>2</v>
      </c>
      <c r="P281" s="119">
        <f>+I281-K281-M281</f>
        <v>2</v>
      </c>
      <c r="Q281" s="99">
        <f>+P281*F281</f>
        <v>1780788</v>
      </c>
      <c r="R281" s="103">
        <f>+I281-K281-M281-P281</f>
        <v>0</v>
      </c>
      <c r="S281" s="104">
        <f>+R281*F281</f>
        <v>0</v>
      </c>
      <c r="T281" s="119">
        <f>+K281+M281+O281+R281</f>
        <v>2</v>
      </c>
      <c r="U281" s="374"/>
      <c r="V281" s="122">
        <f>+T281*F281</f>
        <v>1780788</v>
      </c>
      <c r="W281" s="123">
        <f>+I281-T281</f>
        <v>0</v>
      </c>
      <c r="X281" s="375">
        <f>+W281*F281</f>
        <v>0</v>
      </c>
      <c r="Y281" s="125">
        <f t="shared" si="164"/>
        <v>0</v>
      </c>
      <c r="Z281" s="126">
        <f t="shared" si="160"/>
        <v>0</v>
      </c>
      <c r="AA281" s="126">
        <f t="shared" si="165"/>
        <v>1780788</v>
      </c>
    </row>
    <row r="282" spans="1:27" s="291" customFormat="1" ht="15" customHeight="1">
      <c r="A282" s="109"/>
      <c r="B282" s="110"/>
      <c r="C282" s="90"/>
      <c r="D282" s="356" t="s">
        <v>31</v>
      </c>
      <c r="E282" s="357"/>
      <c r="F282" s="376"/>
      <c r="G282" s="359"/>
      <c r="H282" s="360"/>
      <c r="I282" s="361"/>
      <c r="J282" s="362">
        <f>SUM(J280:J281)</f>
        <v>19111337.599999998</v>
      </c>
      <c r="K282" s="363"/>
      <c r="L282" s="362">
        <f>SUM(L280:L281)</f>
        <v>0</v>
      </c>
      <c r="M282" s="363"/>
      <c r="N282" s="362">
        <f>SUM(N280:N281)</f>
        <v>10509863</v>
      </c>
      <c r="O282" s="100">
        <f t="shared" si="162"/>
        <v>0</v>
      </c>
      <c r="P282" s="364"/>
      <c r="Q282" s="362">
        <f>SUM(Q280:Q281)</f>
        <v>8599578.049125379</v>
      </c>
      <c r="R282" s="365"/>
      <c r="S282" s="362">
        <f>SUM(S280:S281)</f>
        <v>1896.5508746200903</v>
      </c>
      <c r="T282" s="364"/>
      <c r="U282" s="366"/>
      <c r="V282" s="362">
        <f>SUM(V280:V281)</f>
        <v>19111337.599999998</v>
      </c>
      <c r="W282" s="367"/>
      <c r="X282" s="141">
        <f>SUM(X280:X281)</f>
        <v>0</v>
      </c>
      <c r="Y282" s="125">
        <f t="shared" si="164"/>
        <v>0</v>
      </c>
      <c r="Z282" s="126">
        <f t="shared" si="160"/>
        <v>0</v>
      </c>
      <c r="AA282" s="126">
        <f t="shared" si="165"/>
        <v>8599578.049125379</v>
      </c>
    </row>
    <row r="283" spans="1:27" s="291" customFormat="1" ht="15" customHeight="1">
      <c r="A283" s="109">
        <v>8</v>
      </c>
      <c r="B283" s="110"/>
      <c r="C283" s="90"/>
      <c r="D283" s="392" t="s">
        <v>99</v>
      </c>
      <c r="E283" s="393"/>
      <c r="F283" s="382"/>
      <c r="G283" s="319"/>
      <c r="H283" s="320"/>
      <c r="I283" s="103"/>
      <c r="J283" s="353"/>
      <c r="K283" s="354"/>
      <c r="L283" s="99"/>
      <c r="M283" s="354"/>
      <c r="N283" s="99"/>
      <c r="O283" s="100">
        <f t="shared" si="162"/>
        <v>0</v>
      </c>
      <c r="P283" s="325"/>
      <c r="Q283" s="322"/>
      <c r="R283" s="321"/>
      <c r="S283" s="322"/>
      <c r="T283" s="325"/>
      <c r="U283" s="326"/>
      <c r="V283" s="322"/>
      <c r="W283" s="371"/>
      <c r="X283" s="327"/>
      <c r="Y283" s="125">
        <f t="shared" si="164"/>
        <v>0</v>
      </c>
      <c r="Z283" s="126">
        <f t="shared" si="160"/>
        <v>0</v>
      </c>
      <c r="AA283" s="126">
        <f t="shared" si="165"/>
        <v>0</v>
      </c>
    </row>
    <row r="284" spans="1:27" s="355" customFormat="1" ht="15" customHeight="1">
      <c r="A284" s="109"/>
      <c r="B284" s="110">
        <v>8.9</v>
      </c>
      <c r="C284" s="90"/>
      <c r="D284" s="372" t="s">
        <v>119</v>
      </c>
      <c r="E284" s="373" t="s">
        <v>20</v>
      </c>
      <c r="F284" s="385">
        <v>416035</v>
      </c>
      <c r="G284" s="378"/>
      <c r="H284" s="352"/>
      <c r="I284" s="103">
        <v>13.2</v>
      </c>
      <c r="J284" s="353">
        <f t="shared" si="163"/>
        <v>5491662</v>
      </c>
      <c r="K284" s="354"/>
      <c r="L284" s="99">
        <f t="shared" si="161"/>
        <v>0</v>
      </c>
      <c r="M284" s="354"/>
      <c r="N284" s="99">
        <f>+M284*F284</f>
        <v>0</v>
      </c>
      <c r="O284" s="100">
        <f t="shared" si="162"/>
        <v>13.2</v>
      </c>
      <c r="P284" s="119">
        <f>+I284-K284-M284</f>
        <v>13.2</v>
      </c>
      <c r="Q284" s="99">
        <f>+P284*F284</f>
        <v>5491662</v>
      </c>
      <c r="R284" s="103">
        <f>+I284-K284-M284-P284</f>
        <v>0</v>
      </c>
      <c r="S284" s="104">
        <f>+R284*F284</f>
        <v>0</v>
      </c>
      <c r="T284" s="119">
        <f>+K284+M284+O284+R284</f>
        <v>13.2</v>
      </c>
      <c r="U284" s="374"/>
      <c r="V284" s="122">
        <f>+T284*F284</f>
        <v>5491662</v>
      </c>
      <c r="W284" s="123">
        <f>+I284-T284</f>
        <v>0</v>
      </c>
      <c r="X284" s="375">
        <f>+W284*F284</f>
        <v>0</v>
      </c>
      <c r="Y284" s="125">
        <f t="shared" si="164"/>
        <v>0</v>
      </c>
      <c r="Z284" s="126">
        <f t="shared" si="160"/>
        <v>0</v>
      </c>
      <c r="AA284" s="126">
        <f t="shared" si="165"/>
        <v>5491662</v>
      </c>
    </row>
    <row r="285" spans="1:27" s="355" customFormat="1" ht="15" customHeight="1">
      <c r="A285" s="109"/>
      <c r="B285" s="110"/>
      <c r="C285" s="90"/>
      <c r="D285" s="372" t="s">
        <v>333</v>
      </c>
      <c r="E285" s="373" t="s">
        <v>2</v>
      </c>
      <c r="F285" s="377">
        <v>890394</v>
      </c>
      <c r="G285" s="378"/>
      <c r="H285" s="352"/>
      <c r="I285" s="103">
        <v>1</v>
      </c>
      <c r="J285" s="353">
        <f t="shared" si="163"/>
        <v>890394</v>
      </c>
      <c r="K285" s="354"/>
      <c r="L285" s="99">
        <f t="shared" si="161"/>
        <v>0</v>
      </c>
      <c r="M285" s="354"/>
      <c r="N285" s="99">
        <f>+M285*F285</f>
        <v>0</v>
      </c>
      <c r="O285" s="100">
        <f t="shared" si="162"/>
        <v>1</v>
      </c>
      <c r="P285" s="119">
        <f>+I285-K285-M285</f>
        <v>1</v>
      </c>
      <c r="Q285" s="99">
        <f>+P285*F285</f>
        <v>890394</v>
      </c>
      <c r="R285" s="103">
        <f>+I285-K285-M285-P285</f>
        <v>0</v>
      </c>
      <c r="S285" s="104">
        <f>+R285*F285</f>
        <v>0</v>
      </c>
      <c r="T285" s="119">
        <f>+K285+M285+O285+R285</f>
        <v>1</v>
      </c>
      <c r="U285" s="374"/>
      <c r="V285" s="122">
        <f>+T285*F285</f>
        <v>890394</v>
      </c>
      <c r="W285" s="123">
        <f>+I285-T285</f>
        <v>0</v>
      </c>
      <c r="X285" s="375">
        <f>+W285*F285</f>
        <v>0</v>
      </c>
      <c r="Y285" s="125">
        <f t="shared" si="164"/>
        <v>0</v>
      </c>
      <c r="Z285" s="126">
        <f t="shared" si="160"/>
        <v>0</v>
      </c>
      <c r="AA285" s="126">
        <f t="shared" si="165"/>
        <v>890394</v>
      </c>
    </row>
    <row r="286" spans="1:27" s="291" customFormat="1" ht="15" customHeight="1">
      <c r="A286" s="109"/>
      <c r="B286" s="110"/>
      <c r="C286" s="90"/>
      <c r="D286" s="356" t="s">
        <v>31</v>
      </c>
      <c r="E286" s="357"/>
      <c r="F286" s="376"/>
      <c r="G286" s="359"/>
      <c r="H286" s="360"/>
      <c r="I286" s="361"/>
      <c r="J286" s="362">
        <f>SUM(J284:J285)</f>
        <v>6382056</v>
      </c>
      <c r="K286" s="363"/>
      <c r="L286" s="362">
        <f>SUM(L284:L285)</f>
        <v>0</v>
      </c>
      <c r="M286" s="363"/>
      <c r="N286" s="362">
        <f>SUM(N284:N285)</f>
        <v>0</v>
      </c>
      <c r="O286" s="100">
        <f t="shared" si="162"/>
        <v>0</v>
      </c>
      <c r="P286" s="364"/>
      <c r="Q286" s="362">
        <f>SUM(Q284:Q285)</f>
        <v>6382056</v>
      </c>
      <c r="R286" s="365"/>
      <c r="S286" s="362">
        <f>SUM(S284:S285)</f>
        <v>0</v>
      </c>
      <c r="T286" s="364"/>
      <c r="U286" s="366"/>
      <c r="V286" s="362">
        <f>SUM(V284:V285)</f>
        <v>6382056</v>
      </c>
      <c r="W286" s="367"/>
      <c r="X286" s="141">
        <f>SUM(X284:X285)</f>
        <v>0</v>
      </c>
      <c r="Y286" s="125">
        <f t="shared" si="164"/>
        <v>0</v>
      </c>
      <c r="Z286" s="126">
        <f t="shared" si="160"/>
        <v>0</v>
      </c>
      <c r="AA286" s="126">
        <f t="shared" si="165"/>
        <v>6382056</v>
      </c>
    </row>
    <row r="287" spans="1:27" s="291" customFormat="1" ht="21" customHeight="1">
      <c r="A287" s="109">
        <v>9</v>
      </c>
      <c r="B287" s="110"/>
      <c r="C287" s="90"/>
      <c r="D287" s="380" t="s">
        <v>301</v>
      </c>
      <c r="E287" s="381"/>
      <c r="F287" s="382"/>
      <c r="G287" s="319"/>
      <c r="H287" s="320"/>
      <c r="I287" s="103"/>
      <c r="J287" s="353"/>
      <c r="K287" s="354"/>
      <c r="L287" s="99"/>
      <c r="M287" s="354"/>
      <c r="N287" s="99"/>
      <c r="O287" s="100">
        <f t="shared" si="162"/>
        <v>0</v>
      </c>
      <c r="P287" s="325"/>
      <c r="Q287" s="322"/>
      <c r="R287" s="321"/>
      <c r="S287" s="322"/>
      <c r="T287" s="325"/>
      <c r="U287" s="326"/>
      <c r="V287" s="322"/>
      <c r="W287" s="371"/>
      <c r="X287" s="327"/>
      <c r="Y287" s="125">
        <f t="shared" si="164"/>
        <v>0</v>
      </c>
      <c r="Z287" s="126">
        <f t="shared" si="160"/>
        <v>0</v>
      </c>
      <c r="AA287" s="126">
        <f t="shared" si="165"/>
        <v>0</v>
      </c>
    </row>
    <row r="288" spans="1:27" s="355" customFormat="1" ht="15" customHeight="1">
      <c r="A288" s="109"/>
      <c r="B288" s="110">
        <v>8.9</v>
      </c>
      <c r="C288" s="90"/>
      <c r="D288" s="394" t="s">
        <v>119</v>
      </c>
      <c r="E288" s="373" t="s">
        <v>20</v>
      </c>
      <c r="F288" s="385">
        <v>416035</v>
      </c>
      <c r="G288" s="378"/>
      <c r="H288" s="352"/>
      <c r="I288" s="103">
        <v>37.42</v>
      </c>
      <c r="J288" s="353">
        <f t="shared" si="163"/>
        <v>15568029.700000001</v>
      </c>
      <c r="K288" s="354"/>
      <c r="L288" s="99">
        <f t="shared" si="161"/>
        <v>0</v>
      </c>
      <c r="M288" s="354"/>
      <c r="N288" s="99">
        <f>+M288*F288</f>
        <v>0</v>
      </c>
      <c r="O288" s="100">
        <f t="shared" si="162"/>
        <v>37.42</v>
      </c>
      <c r="P288" s="119">
        <f>+I288-K288-M288</f>
        <v>37.42</v>
      </c>
      <c r="Q288" s="99">
        <f>+P288*F288</f>
        <v>15568029.700000001</v>
      </c>
      <c r="R288" s="103">
        <f>+I288-K288-M288-P288</f>
        <v>0</v>
      </c>
      <c r="S288" s="104">
        <f>+R288*F288</f>
        <v>0</v>
      </c>
      <c r="T288" s="119">
        <f>+K288+M288+O288+R288</f>
        <v>37.42</v>
      </c>
      <c r="U288" s="374"/>
      <c r="V288" s="122">
        <f>+T288*F288</f>
        <v>15568029.700000001</v>
      </c>
      <c r="W288" s="123">
        <f>+I288-T288</f>
        <v>0</v>
      </c>
      <c r="X288" s="375">
        <f>+W288*F288</f>
        <v>0</v>
      </c>
      <c r="Y288" s="125">
        <f t="shared" si="164"/>
        <v>0</v>
      </c>
      <c r="Z288" s="126">
        <f t="shared" si="160"/>
        <v>0</v>
      </c>
      <c r="AA288" s="126">
        <f t="shared" si="165"/>
        <v>15568029.700000001</v>
      </c>
    </row>
    <row r="289" spans="1:27" s="355" customFormat="1" ht="15" customHeight="1">
      <c r="A289" s="109"/>
      <c r="B289" s="110"/>
      <c r="C289" s="90"/>
      <c r="D289" s="372" t="s">
        <v>334</v>
      </c>
      <c r="E289" s="373" t="s">
        <v>2</v>
      </c>
      <c r="F289" s="377">
        <v>890394</v>
      </c>
      <c r="G289" s="378"/>
      <c r="H289" s="352"/>
      <c r="I289" s="103">
        <v>1</v>
      </c>
      <c r="J289" s="353">
        <f t="shared" si="163"/>
        <v>890394</v>
      </c>
      <c r="K289" s="354"/>
      <c r="L289" s="99">
        <f t="shared" si="161"/>
        <v>0</v>
      </c>
      <c r="M289" s="354"/>
      <c r="N289" s="99">
        <f>+M289*F289</f>
        <v>0</v>
      </c>
      <c r="O289" s="100">
        <f t="shared" si="162"/>
        <v>1</v>
      </c>
      <c r="P289" s="119">
        <f>+I289-K289-M289</f>
        <v>1</v>
      </c>
      <c r="Q289" s="99">
        <f>+P289*F289</f>
        <v>890394</v>
      </c>
      <c r="R289" s="103">
        <f>+I289-K289-M289-P289</f>
        <v>0</v>
      </c>
      <c r="S289" s="104">
        <f>+R289*F289</f>
        <v>0</v>
      </c>
      <c r="T289" s="119">
        <f>+K289+M289+O289+R289</f>
        <v>1</v>
      </c>
      <c r="U289" s="374"/>
      <c r="V289" s="122">
        <f>+T289*F289</f>
        <v>890394</v>
      </c>
      <c r="W289" s="123">
        <f>+I289-T289</f>
        <v>0</v>
      </c>
      <c r="X289" s="375">
        <f>+W289*F289</f>
        <v>0</v>
      </c>
      <c r="Y289" s="125">
        <f t="shared" si="164"/>
        <v>0</v>
      </c>
      <c r="Z289" s="126">
        <f t="shared" si="160"/>
        <v>0</v>
      </c>
      <c r="AA289" s="126">
        <f t="shared" si="165"/>
        <v>890394</v>
      </c>
    </row>
    <row r="290" spans="1:27" s="355" customFormat="1" ht="15" customHeight="1">
      <c r="A290" s="109"/>
      <c r="B290" s="110"/>
      <c r="C290" s="90"/>
      <c r="D290" s="394" t="s">
        <v>335</v>
      </c>
      <c r="E290" s="373" t="s">
        <v>2</v>
      </c>
      <c r="F290" s="385">
        <v>245839</v>
      </c>
      <c r="G290" s="378"/>
      <c r="H290" s="352"/>
      <c r="I290" s="103">
        <v>0</v>
      </c>
      <c r="J290" s="353">
        <f t="shared" si="163"/>
        <v>0</v>
      </c>
      <c r="K290" s="354"/>
      <c r="L290" s="99">
        <f t="shared" si="161"/>
        <v>0</v>
      </c>
      <c r="M290" s="354"/>
      <c r="N290" s="99">
        <f>+M290*F290</f>
        <v>0</v>
      </c>
      <c r="O290" s="100">
        <f t="shared" si="162"/>
        <v>0</v>
      </c>
      <c r="P290" s="119">
        <f>+I290-K290-M290</f>
        <v>0</v>
      </c>
      <c r="Q290" s="99">
        <f>+P290*F290</f>
        <v>0</v>
      </c>
      <c r="R290" s="103">
        <f>+I290-K290-M290-P290</f>
        <v>0</v>
      </c>
      <c r="S290" s="104">
        <f>+R290*F290</f>
        <v>0</v>
      </c>
      <c r="T290" s="119">
        <f>+K290+M290+O290+R290</f>
        <v>0</v>
      </c>
      <c r="U290" s="374"/>
      <c r="V290" s="122">
        <f>+T290*F290</f>
        <v>0</v>
      </c>
      <c r="W290" s="123">
        <f>+I290-T290</f>
        <v>0</v>
      </c>
      <c r="X290" s="375">
        <f>+W290*F290</f>
        <v>0</v>
      </c>
      <c r="Y290" s="125">
        <f t="shared" si="164"/>
        <v>0</v>
      </c>
      <c r="Z290" s="126">
        <f t="shared" si="160"/>
        <v>0</v>
      </c>
      <c r="AA290" s="126">
        <f t="shared" si="165"/>
        <v>0</v>
      </c>
    </row>
    <row r="291" spans="1:27" s="291" customFormat="1" ht="15" customHeight="1">
      <c r="A291" s="109"/>
      <c r="B291" s="110"/>
      <c r="C291" s="90"/>
      <c r="D291" s="356" t="s">
        <v>31</v>
      </c>
      <c r="E291" s="357"/>
      <c r="F291" s="376"/>
      <c r="G291" s="359"/>
      <c r="H291" s="360"/>
      <c r="I291" s="361"/>
      <c r="J291" s="362">
        <f>SUM(J288:J290)</f>
        <v>16458423.700000001</v>
      </c>
      <c r="K291" s="363"/>
      <c r="L291" s="362">
        <f>SUM(L288:L290)</f>
        <v>0</v>
      </c>
      <c r="M291" s="363"/>
      <c r="N291" s="362">
        <f>SUM(N288:N290)</f>
        <v>0</v>
      </c>
      <c r="O291" s="100">
        <f t="shared" si="162"/>
        <v>0</v>
      </c>
      <c r="P291" s="364"/>
      <c r="Q291" s="362">
        <f>SUM(Q288:Q290)</f>
        <v>16458423.700000001</v>
      </c>
      <c r="R291" s="365"/>
      <c r="S291" s="362">
        <f>SUM(S288:S290)</f>
        <v>0</v>
      </c>
      <c r="T291" s="364"/>
      <c r="U291" s="366"/>
      <c r="V291" s="362">
        <f>SUM(V288:V290)</f>
        <v>16458423.700000001</v>
      </c>
      <c r="W291" s="367"/>
      <c r="X291" s="141">
        <f>SUM(X288:X290)</f>
        <v>0</v>
      </c>
      <c r="Y291" s="125">
        <f t="shared" si="164"/>
        <v>0</v>
      </c>
      <c r="Z291" s="126">
        <f t="shared" si="160"/>
        <v>0</v>
      </c>
      <c r="AA291" s="126">
        <f t="shared" si="165"/>
        <v>16458423.700000001</v>
      </c>
    </row>
    <row r="292" spans="1:27" s="355" customFormat="1" ht="15" customHeight="1">
      <c r="A292" s="170">
        <v>10</v>
      </c>
      <c r="B292" s="171"/>
      <c r="C292" s="347"/>
      <c r="D292" s="395" t="s">
        <v>130</v>
      </c>
      <c r="E292" s="396"/>
      <c r="F292" s="382"/>
      <c r="G292" s="351"/>
      <c r="H292" s="352"/>
      <c r="I292" s="190"/>
      <c r="J292" s="353"/>
      <c r="K292" s="354"/>
      <c r="L292" s="99"/>
      <c r="M292" s="354"/>
      <c r="N292" s="99"/>
      <c r="O292" s="100">
        <f t="shared" si="162"/>
        <v>0</v>
      </c>
      <c r="P292" s="397"/>
      <c r="Q292" s="398"/>
      <c r="R292" s="399"/>
      <c r="S292" s="398"/>
      <c r="T292" s="397"/>
      <c r="U292" s="374"/>
      <c r="V292" s="398"/>
      <c r="W292" s="371"/>
      <c r="X292" s="400"/>
      <c r="Y292" s="125">
        <f t="shared" si="164"/>
        <v>0</v>
      </c>
      <c r="Z292" s="195">
        <f t="shared" si="160"/>
        <v>0</v>
      </c>
      <c r="AA292" s="126">
        <f t="shared" si="165"/>
        <v>0</v>
      </c>
    </row>
    <row r="293" spans="1:27" s="355" customFormat="1" ht="15" customHeight="1">
      <c r="A293" s="170"/>
      <c r="B293" s="171"/>
      <c r="C293" s="347"/>
      <c r="D293" s="372" t="s">
        <v>336</v>
      </c>
      <c r="E293" s="373" t="s">
        <v>2</v>
      </c>
      <c r="F293" s="377">
        <v>1650000</v>
      </c>
      <c r="G293" s="378"/>
      <c r="H293" s="352"/>
      <c r="I293" s="190">
        <v>0</v>
      </c>
      <c r="J293" s="353">
        <f t="shared" si="163"/>
        <v>0</v>
      </c>
      <c r="K293" s="354"/>
      <c r="L293" s="99">
        <f t="shared" si="161"/>
        <v>0</v>
      </c>
      <c r="M293" s="354"/>
      <c r="N293" s="99">
        <f>+M293*F293</f>
        <v>0</v>
      </c>
      <c r="O293" s="100">
        <f t="shared" si="162"/>
        <v>0</v>
      </c>
      <c r="P293" s="119">
        <f>+I293-K293-M293</f>
        <v>0</v>
      </c>
      <c r="Q293" s="176">
        <f>+P293*F293</f>
        <v>0</v>
      </c>
      <c r="R293" s="103">
        <f>+I293-K293-M293-P293</f>
        <v>0</v>
      </c>
      <c r="S293" s="104">
        <f>+R293*F293</f>
        <v>0</v>
      </c>
      <c r="T293" s="119">
        <f>+K293+M293+O293</f>
        <v>0</v>
      </c>
      <c r="U293" s="374"/>
      <c r="V293" s="179">
        <f>+T293*F293</f>
        <v>0</v>
      </c>
      <c r="W293" s="123">
        <f>+I293-T293</f>
        <v>0</v>
      </c>
      <c r="X293" s="375">
        <f>+W293*F293</f>
        <v>0</v>
      </c>
      <c r="Y293" s="125">
        <f t="shared" si="164"/>
        <v>0</v>
      </c>
      <c r="Z293" s="195">
        <f t="shared" si="160"/>
        <v>0</v>
      </c>
      <c r="AA293" s="126">
        <f t="shared" si="165"/>
        <v>0</v>
      </c>
    </row>
    <row r="294" spans="1:27" s="355" customFormat="1" ht="15" customHeight="1">
      <c r="A294" s="109"/>
      <c r="B294" s="110"/>
      <c r="C294" s="90"/>
      <c r="D294" s="372" t="s">
        <v>151</v>
      </c>
      <c r="E294" s="373" t="s">
        <v>2</v>
      </c>
      <c r="F294" s="377">
        <v>850000</v>
      </c>
      <c r="G294" s="378"/>
      <c r="H294" s="352"/>
      <c r="I294" s="103">
        <v>10</v>
      </c>
      <c r="J294" s="353">
        <f t="shared" si="163"/>
        <v>8500000</v>
      </c>
      <c r="K294" s="354"/>
      <c r="L294" s="99">
        <f t="shared" si="161"/>
        <v>0</v>
      </c>
      <c r="M294" s="354"/>
      <c r="N294" s="99">
        <f>+M294*F294</f>
        <v>0</v>
      </c>
      <c r="O294" s="100">
        <f t="shared" si="162"/>
        <v>10</v>
      </c>
      <c r="P294" s="119">
        <f>+I294-K294-M294</f>
        <v>10</v>
      </c>
      <c r="Q294" s="176">
        <f>+P294*F294</f>
        <v>8500000</v>
      </c>
      <c r="R294" s="103">
        <f>+I294-K294-M294-P294</f>
        <v>0</v>
      </c>
      <c r="S294" s="104">
        <f>+R294*F294</f>
        <v>0</v>
      </c>
      <c r="T294" s="119">
        <f>+K294+M294+O294</f>
        <v>10</v>
      </c>
      <c r="U294" s="374"/>
      <c r="V294" s="122">
        <f>+T294*F294</f>
        <v>8500000</v>
      </c>
      <c r="W294" s="123">
        <f>+I294-T294</f>
        <v>0</v>
      </c>
      <c r="X294" s="375">
        <f>+W294*F294</f>
        <v>0</v>
      </c>
      <c r="Y294" s="125">
        <f t="shared" si="164"/>
        <v>0</v>
      </c>
      <c r="Z294" s="126">
        <f t="shared" si="160"/>
        <v>0</v>
      </c>
      <c r="AA294" s="126">
        <f t="shared" si="165"/>
        <v>8500000</v>
      </c>
    </row>
    <row r="295" spans="1:27" s="355" customFormat="1" ht="15" customHeight="1">
      <c r="A295" s="109"/>
      <c r="B295" s="110"/>
      <c r="C295" s="90"/>
      <c r="D295" s="372" t="s">
        <v>337</v>
      </c>
      <c r="E295" s="373" t="s">
        <v>2</v>
      </c>
      <c r="F295" s="377">
        <v>2300000</v>
      </c>
      <c r="G295" s="378"/>
      <c r="H295" s="352"/>
      <c r="I295" s="103">
        <v>1</v>
      </c>
      <c r="J295" s="353">
        <f t="shared" si="163"/>
        <v>2300000</v>
      </c>
      <c r="K295" s="354"/>
      <c r="L295" s="99">
        <f t="shared" si="161"/>
        <v>0</v>
      </c>
      <c r="M295" s="354"/>
      <c r="N295" s="99">
        <f>+M295*F295</f>
        <v>0</v>
      </c>
      <c r="O295" s="100">
        <f t="shared" si="162"/>
        <v>1</v>
      </c>
      <c r="P295" s="119">
        <f>+I295-K295-M295</f>
        <v>1</v>
      </c>
      <c r="Q295" s="176">
        <f>+P295*F295</f>
        <v>2300000</v>
      </c>
      <c r="R295" s="103">
        <f>+I295-K295-M295-P295</f>
        <v>0</v>
      </c>
      <c r="S295" s="104">
        <f>+R295*F295</f>
        <v>0</v>
      </c>
      <c r="T295" s="119">
        <f>+K295+M295+O295</f>
        <v>1</v>
      </c>
      <c r="U295" s="374"/>
      <c r="V295" s="122">
        <f>+T295*F295</f>
        <v>2300000</v>
      </c>
      <c r="W295" s="123">
        <f>+I295-T295</f>
        <v>0</v>
      </c>
      <c r="X295" s="375">
        <f>+W295*F295</f>
        <v>0</v>
      </c>
      <c r="Y295" s="125">
        <f t="shared" si="164"/>
        <v>0</v>
      </c>
      <c r="Z295" s="126">
        <f t="shared" si="160"/>
        <v>0</v>
      </c>
      <c r="AA295" s="126">
        <f t="shared" si="165"/>
        <v>2300000</v>
      </c>
    </row>
    <row r="296" spans="1:27" s="291" customFormat="1" ht="19.5" customHeight="1">
      <c r="A296" s="109"/>
      <c r="B296" s="110"/>
      <c r="C296" s="90"/>
      <c r="D296" s="356" t="s">
        <v>31</v>
      </c>
      <c r="E296" s="357"/>
      <c r="F296" s="376"/>
      <c r="G296" s="359"/>
      <c r="H296" s="360"/>
      <c r="I296" s="361"/>
      <c r="J296" s="362">
        <f>SUM(J293:J295)</f>
        <v>10800000</v>
      </c>
      <c r="K296" s="363"/>
      <c r="L296" s="362">
        <f>SUM(L293:L295)</f>
        <v>0</v>
      </c>
      <c r="M296" s="363"/>
      <c r="N296" s="362">
        <f>SUM(N293:N295)</f>
        <v>0</v>
      </c>
      <c r="O296" s="100">
        <f t="shared" si="162"/>
        <v>0</v>
      </c>
      <c r="P296" s="364"/>
      <c r="Q296" s="362">
        <f>SUM(Q293:Q295)</f>
        <v>10800000</v>
      </c>
      <c r="R296" s="365"/>
      <c r="S296" s="362">
        <f>SUM(S293:S295)</f>
        <v>0</v>
      </c>
      <c r="T296" s="364"/>
      <c r="U296" s="366"/>
      <c r="V296" s="362">
        <f>SUM(V293:V295)</f>
        <v>10800000</v>
      </c>
      <c r="W296" s="367"/>
      <c r="X296" s="141">
        <f>SUM(X293:X295)</f>
        <v>0</v>
      </c>
      <c r="Y296" s="125">
        <f t="shared" si="164"/>
        <v>0</v>
      </c>
      <c r="Z296" s="126">
        <f t="shared" si="160"/>
        <v>0</v>
      </c>
      <c r="AA296" s="126">
        <f t="shared" si="165"/>
        <v>10800000</v>
      </c>
    </row>
    <row r="297" spans="1:27" s="291" customFormat="1" ht="25.5" customHeight="1">
      <c r="A297" s="109">
        <v>11</v>
      </c>
      <c r="B297" s="110"/>
      <c r="C297" s="90"/>
      <c r="D297" s="380" t="s">
        <v>302</v>
      </c>
      <c r="E297" s="381"/>
      <c r="F297" s="382"/>
      <c r="G297" s="319"/>
      <c r="H297" s="320"/>
      <c r="I297" s="103"/>
      <c r="J297" s="353"/>
      <c r="K297" s="354"/>
      <c r="L297" s="99"/>
      <c r="M297" s="354"/>
      <c r="N297" s="99"/>
      <c r="O297" s="100">
        <f t="shared" si="162"/>
        <v>0</v>
      </c>
      <c r="P297" s="325"/>
      <c r="Q297" s="322"/>
      <c r="R297" s="321"/>
      <c r="S297" s="322"/>
      <c r="T297" s="325"/>
      <c r="U297" s="326"/>
      <c r="V297" s="322"/>
      <c r="W297" s="371"/>
      <c r="X297" s="327"/>
      <c r="Y297" s="125">
        <f t="shared" si="164"/>
        <v>0</v>
      </c>
      <c r="Z297" s="126">
        <f t="shared" si="160"/>
        <v>0</v>
      </c>
      <c r="AA297" s="126">
        <f t="shared" si="165"/>
        <v>0</v>
      </c>
    </row>
    <row r="298" spans="1:27" s="355" customFormat="1" ht="15" customHeight="1">
      <c r="A298" s="170"/>
      <c r="B298" s="171"/>
      <c r="C298" s="347"/>
      <c r="D298" s="372" t="s">
        <v>336</v>
      </c>
      <c r="E298" s="373" t="s">
        <v>2</v>
      </c>
      <c r="F298" s="377">
        <v>1650000</v>
      </c>
      <c r="G298" s="378"/>
      <c r="H298" s="352"/>
      <c r="I298" s="190">
        <v>0</v>
      </c>
      <c r="J298" s="353">
        <f t="shared" si="163"/>
        <v>0</v>
      </c>
      <c r="K298" s="354"/>
      <c r="L298" s="99">
        <f t="shared" si="161"/>
        <v>0</v>
      </c>
      <c r="M298" s="354"/>
      <c r="N298" s="99">
        <f>+M298*F298</f>
        <v>0</v>
      </c>
      <c r="O298" s="100">
        <f t="shared" si="162"/>
        <v>0</v>
      </c>
      <c r="P298" s="119">
        <f>+I298-K298-M298</f>
        <v>0</v>
      </c>
      <c r="Q298" s="176">
        <f>+P298*F298</f>
        <v>0</v>
      </c>
      <c r="R298" s="103">
        <f>+I298-K298-M298-P298</f>
        <v>0</v>
      </c>
      <c r="S298" s="104">
        <f>+R298*F298</f>
        <v>0</v>
      </c>
      <c r="T298" s="119">
        <f>+K298+M298+O298+R298</f>
        <v>0</v>
      </c>
      <c r="U298" s="374"/>
      <c r="V298" s="179">
        <f>+T298*F298</f>
        <v>0</v>
      </c>
      <c r="W298" s="123">
        <f>+I298-T298</f>
        <v>0</v>
      </c>
      <c r="X298" s="375">
        <f>+W298*F298</f>
        <v>0</v>
      </c>
      <c r="Y298" s="125">
        <f t="shared" si="164"/>
        <v>0</v>
      </c>
      <c r="Z298" s="195">
        <f t="shared" si="160"/>
        <v>0</v>
      </c>
      <c r="AA298" s="126">
        <f t="shared" si="165"/>
        <v>0</v>
      </c>
    </row>
    <row r="299" spans="1:27" s="355" customFormat="1" ht="15" customHeight="1">
      <c r="A299" s="170"/>
      <c r="B299" s="171"/>
      <c r="C299" s="347"/>
      <c r="D299" s="372" t="s">
        <v>337</v>
      </c>
      <c r="E299" s="373" t="s">
        <v>2</v>
      </c>
      <c r="F299" s="377">
        <v>2300000</v>
      </c>
      <c r="G299" s="378"/>
      <c r="H299" s="352"/>
      <c r="I299" s="190">
        <v>1</v>
      </c>
      <c r="J299" s="353">
        <f t="shared" si="163"/>
        <v>2300000</v>
      </c>
      <c r="K299" s="354"/>
      <c r="L299" s="99">
        <f t="shared" si="161"/>
        <v>0</v>
      </c>
      <c r="M299" s="354"/>
      <c r="N299" s="99">
        <f>+M299*F299</f>
        <v>0</v>
      </c>
      <c r="O299" s="100">
        <f t="shared" si="162"/>
        <v>1</v>
      </c>
      <c r="P299" s="119">
        <f>+I299-K299-M299</f>
        <v>1</v>
      </c>
      <c r="Q299" s="176">
        <f>+P299*F299</f>
        <v>2300000</v>
      </c>
      <c r="R299" s="103">
        <f>+I299-K299-M299-P299</f>
        <v>0</v>
      </c>
      <c r="S299" s="104">
        <f>+R299*F299</f>
        <v>0</v>
      </c>
      <c r="T299" s="119">
        <f>+K299+M299+O299+R299</f>
        <v>1</v>
      </c>
      <c r="U299" s="374"/>
      <c r="V299" s="179">
        <f>+T299*F299</f>
        <v>2300000</v>
      </c>
      <c r="W299" s="123">
        <f>+I299-T299</f>
        <v>0</v>
      </c>
      <c r="X299" s="375">
        <f>+W299*F299</f>
        <v>0</v>
      </c>
      <c r="Y299" s="125">
        <f t="shared" si="164"/>
        <v>0</v>
      </c>
      <c r="Z299" s="195">
        <f t="shared" si="160"/>
        <v>0</v>
      </c>
      <c r="AA299" s="126">
        <f t="shared" si="165"/>
        <v>2300000</v>
      </c>
    </row>
    <row r="300" spans="1:27" s="291" customFormat="1" ht="15" customHeight="1">
      <c r="A300" s="109"/>
      <c r="B300" s="110"/>
      <c r="C300" s="90"/>
      <c r="D300" s="356" t="s">
        <v>31</v>
      </c>
      <c r="E300" s="357"/>
      <c r="F300" s="376"/>
      <c r="G300" s="359"/>
      <c r="H300" s="360"/>
      <c r="I300" s="361"/>
      <c r="J300" s="362">
        <f>SUM(J298:J299)</f>
        <v>2300000</v>
      </c>
      <c r="K300" s="363"/>
      <c r="L300" s="362">
        <f>SUM(L298:L299)</f>
        <v>0</v>
      </c>
      <c r="M300" s="363"/>
      <c r="N300" s="362">
        <f>SUM(N298:N299)</f>
        <v>0</v>
      </c>
      <c r="O300" s="100">
        <f t="shared" si="162"/>
        <v>0</v>
      </c>
      <c r="P300" s="364"/>
      <c r="Q300" s="362">
        <f>SUM(Q298:Q299)</f>
        <v>2300000</v>
      </c>
      <c r="R300" s="365"/>
      <c r="S300" s="362">
        <f>SUM(S298:S299)</f>
        <v>0</v>
      </c>
      <c r="T300" s="364"/>
      <c r="U300" s="366"/>
      <c r="V300" s="362">
        <f>SUM(V298:V299)</f>
        <v>2300000</v>
      </c>
      <c r="W300" s="367"/>
      <c r="X300" s="141">
        <f>SUM(X298:X299)</f>
        <v>0</v>
      </c>
      <c r="Y300" s="125">
        <f t="shared" si="164"/>
        <v>0</v>
      </c>
      <c r="Z300" s="126">
        <f t="shared" si="160"/>
        <v>0</v>
      </c>
      <c r="AA300" s="126">
        <f t="shared" si="165"/>
        <v>2300000</v>
      </c>
    </row>
    <row r="301" spans="1:27" s="291" customFormat="1" ht="15" customHeight="1">
      <c r="A301" s="109">
        <v>17</v>
      </c>
      <c r="B301" s="110"/>
      <c r="C301" s="90"/>
      <c r="D301" s="392" t="s">
        <v>220</v>
      </c>
      <c r="E301" s="381"/>
      <c r="F301" s="382"/>
      <c r="G301" s="319"/>
      <c r="H301" s="320"/>
      <c r="I301" s="103"/>
      <c r="J301" s="353"/>
      <c r="K301" s="354"/>
      <c r="L301" s="99"/>
      <c r="M301" s="354"/>
      <c r="N301" s="99"/>
      <c r="O301" s="100">
        <f t="shared" si="162"/>
        <v>0</v>
      </c>
      <c r="P301" s="325"/>
      <c r="Q301" s="322"/>
      <c r="R301" s="321"/>
      <c r="S301" s="322"/>
      <c r="T301" s="325"/>
      <c r="U301" s="326"/>
      <c r="V301" s="322"/>
      <c r="W301" s="371"/>
      <c r="X301" s="327"/>
      <c r="Y301" s="125">
        <f t="shared" si="164"/>
        <v>0</v>
      </c>
      <c r="Z301" s="126">
        <f t="shared" si="160"/>
        <v>0</v>
      </c>
      <c r="AA301" s="126">
        <f t="shared" si="165"/>
        <v>0</v>
      </c>
    </row>
    <row r="302" spans="1:27" s="355" customFormat="1" ht="15" customHeight="1">
      <c r="A302" s="170"/>
      <c r="B302" s="171"/>
      <c r="C302" s="401" t="s">
        <v>338</v>
      </c>
      <c r="D302" s="372" t="s">
        <v>339</v>
      </c>
      <c r="E302" s="373" t="s">
        <v>2</v>
      </c>
      <c r="F302" s="377">
        <v>890394</v>
      </c>
      <c r="G302" s="378"/>
      <c r="H302" s="352"/>
      <c r="I302" s="190">
        <v>4</v>
      </c>
      <c r="J302" s="353">
        <f t="shared" si="163"/>
        <v>3561576</v>
      </c>
      <c r="K302" s="354"/>
      <c r="L302" s="99">
        <f t="shared" si="161"/>
        <v>0</v>
      </c>
      <c r="M302" s="354"/>
      <c r="N302" s="99">
        <f aca="true" t="shared" si="166" ref="N302:N307">+M302*F302</f>
        <v>0</v>
      </c>
      <c r="O302" s="100">
        <f t="shared" si="162"/>
        <v>4</v>
      </c>
      <c r="P302" s="119">
        <f aca="true" t="shared" si="167" ref="P302:P307">+I302-K302-M302</f>
        <v>4</v>
      </c>
      <c r="Q302" s="176">
        <f aca="true" t="shared" si="168" ref="Q302:Q307">+P302*F302</f>
        <v>3561576</v>
      </c>
      <c r="R302" s="103">
        <f aca="true" t="shared" si="169" ref="R302:R307">+I302-K302-M302-P302</f>
        <v>0</v>
      </c>
      <c r="S302" s="104">
        <f aca="true" t="shared" si="170" ref="S302:S307">+R302*F302</f>
        <v>0</v>
      </c>
      <c r="T302" s="119">
        <f aca="true" t="shared" si="171" ref="T302:T307">+K302+M302+O302+R302</f>
        <v>4</v>
      </c>
      <c r="U302" s="374"/>
      <c r="V302" s="179">
        <f aca="true" t="shared" si="172" ref="V302:V307">+T302*F302</f>
        <v>3561576</v>
      </c>
      <c r="W302" s="123">
        <f aca="true" t="shared" si="173" ref="W302:W307">+I302-T302</f>
        <v>0</v>
      </c>
      <c r="X302" s="375">
        <f aca="true" t="shared" si="174" ref="X302:X307">+W302*F302</f>
        <v>0</v>
      </c>
      <c r="Y302" s="125">
        <f t="shared" si="164"/>
        <v>0</v>
      </c>
      <c r="Z302" s="195">
        <f t="shared" si="160"/>
        <v>0</v>
      </c>
      <c r="AA302" s="126">
        <f t="shared" si="165"/>
        <v>3561576</v>
      </c>
    </row>
    <row r="303" spans="1:27" s="355" customFormat="1" ht="21" customHeight="1">
      <c r="A303" s="170"/>
      <c r="B303" s="171">
        <v>17.3</v>
      </c>
      <c r="C303" s="347"/>
      <c r="D303" s="402" t="s">
        <v>340</v>
      </c>
      <c r="E303" s="373" t="s">
        <v>2</v>
      </c>
      <c r="F303" s="385">
        <v>1475035</v>
      </c>
      <c r="G303" s="378"/>
      <c r="H303" s="352"/>
      <c r="I303" s="190">
        <v>6</v>
      </c>
      <c r="J303" s="353">
        <f t="shared" si="163"/>
        <v>8850210</v>
      </c>
      <c r="K303" s="354"/>
      <c r="L303" s="99">
        <f t="shared" si="161"/>
        <v>0</v>
      </c>
      <c r="M303" s="354"/>
      <c r="N303" s="99">
        <f t="shared" si="166"/>
        <v>0</v>
      </c>
      <c r="O303" s="100">
        <f t="shared" si="162"/>
        <v>6</v>
      </c>
      <c r="P303" s="119">
        <f t="shared" si="167"/>
        <v>6</v>
      </c>
      <c r="Q303" s="176">
        <f t="shared" si="168"/>
        <v>8850210</v>
      </c>
      <c r="R303" s="103">
        <f t="shared" si="169"/>
        <v>0</v>
      </c>
      <c r="S303" s="104">
        <f t="shared" si="170"/>
        <v>0</v>
      </c>
      <c r="T303" s="119">
        <f t="shared" si="171"/>
        <v>6</v>
      </c>
      <c r="U303" s="374"/>
      <c r="V303" s="179">
        <f t="shared" si="172"/>
        <v>8850210</v>
      </c>
      <c r="W303" s="123">
        <f t="shared" si="173"/>
        <v>0</v>
      </c>
      <c r="X303" s="375">
        <f t="shared" si="174"/>
        <v>0</v>
      </c>
      <c r="Y303" s="125">
        <f t="shared" si="164"/>
        <v>0</v>
      </c>
      <c r="Z303" s="195">
        <f t="shared" si="160"/>
        <v>0</v>
      </c>
      <c r="AA303" s="126">
        <f t="shared" si="165"/>
        <v>8850210</v>
      </c>
    </row>
    <row r="304" spans="1:27" s="355" customFormat="1" ht="15" customHeight="1">
      <c r="A304" s="170"/>
      <c r="B304" s="171"/>
      <c r="C304" s="347"/>
      <c r="D304" s="372" t="s">
        <v>341</v>
      </c>
      <c r="E304" s="373" t="s">
        <v>20</v>
      </c>
      <c r="F304" s="385">
        <v>428974</v>
      </c>
      <c r="G304" s="378"/>
      <c r="H304" s="352"/>
      <c r="I304" s="190">
        <v>44.1</v>
      </c>
      <c r="J304" s="353">
        <f t="shared" si="163"/>
        <v>18917753.400000002</v>
      </c>
      <c r="K304" s="354"/>
      <c r="L304" s="99">
        <f t="shared" si="161"/>
        <v>0</v>
      </c>
      <c r="M304" s="354"/>
      <c r="N304" s="99">
        <f t="shared" si="166"/>
        <v>0</v>
      </c>
      <c r="O304" s="100">
        <f t="shared" si="162"/>
        <v>44.1</v>
      </c>
      <c r="P304" s="119">
        <f t="shared" si="167"/>
        <v>44.1</v>
      </c>
      <c r="Q304" s="176">
        <f t="shared" si="168"/>
        <v>18917753.400000002</v>
      </c>
      <c r="R304" s="103">
        <f t="shared" si="169"/>
        <v>0</v>
      </c>
      <c r="S304" s="104">
        <f t="shared" si="170"/>
        <v>0</v>
      </c>
      <c r="T304" s="119">
        <f t="shared" si="171"/>
        <v>44.1</v>
      </c>
      <c r="U304" s="374"/>
      <c r="V304" s="179">
        <f t="shared" si="172"/>
        <v>18917753.400000002</v>
      </c>
      <c r="W304" s="123">
        <f t="shared" si="173"/>
        <v>0</v>
      </c>
      <c r="X304" s="375">
        <f t="shared" si="174"/>
        <v>0</v>
      </c>
      <c r="Y304" s="125">
        <f t="shared" si="164"/>
        <v>0</v>
      </c>
      <c r="Z304" s="195">
        <f t="shared" si="160"/>
        <v>0</v>
      </c>
      <c r="AA304" s="126">
        <f t="shared" si="165"/>
        <v>18917753.400000002</v>
      </c>
    </row>
    <row r="305" spans="1:27" s="355" customFormat="1" ht="15" customHeight="1">
      <c r="A305" s="170"/>
      <c r="B305" s="171"/>
      <c r="C305" s="347"/>
      <c r="D305" s="383" t="s">
        <v>342</v>
      </c>
      <c r="E305" s="373" t="s">
        <v>20</v>
      </c>
      <c r="F305" s="385">
        <v>416035</v>
      </c>
      <c r="G305" s="378"/>
      <c r="H305" s="352"/>
      <c r="I305" s="190">
        <v>13.3</v>
      </c>
      <c r="J305" s="353">
        <f t="shared" si="163"/>
        <v>5533265.5</v>
      </c>
      <c r="K305" s="354"/>
      <c r="L305" s="99">
        <f t="shared" si="161"/>
        <v>0</v>
      </c>
      <c r="M305" s="354"/>
      <c r="N305" s="99">
        <f t="shared" si="166"/>
        <v>0</v>
      </c>
      <c r="O305" s="100">
        <f t="shared" si="162"/>
        <v>13.3</v>
      </c>
      <c r="P305" s="119">
        <f t="shared" si="167"/>
        <v>13.3</v>
      </c>
      <c r="Q305" s="176">
        <f t="shared" si="168"/>
        <v>5533265.5</v>
      </c>
      <c r="R305" s="103">
        <f t="shared" si="169"/>
        <v>0</v>
      </c>
      <c r="S305" s="104">
        <f t="shared" si="170"/>
        <v>0</v>
      </c>
      <c r="T305" s="119">
        <f t="shared" si="171"/>
        <v>13.3</v>
      </c>
      <c r="U305" s="374"/>
      <c r="V305" s="179">
        <f t="shared" si="172"/>
        <v>5533265.5</v>
      </c>
      <c r="W305" s="123">
        <f t="shared" si="173"/>
        <v>0</v>
      </c>
      <c r="X305" s="375">
        <f t="shared" si="174"/>
        <v>0</v>
      </c>
      <c r="Y305" s="125">
        <f t="shared" si="164"/>
        <v>0</v>
      </c>
      <c r="Z305" s="195">
        <f t="shared" si="160"/>
        <v>0</v>
      </c>
      <c r="AA305" s="126">
        <f t="shared" si="165"/>
        <v>5533265.5</v>
      </c>
    </row>
    <row r="306" spans="1:27" s="346" customFormat="1" ht="36.75" customHeight="1">
      <c r="A306" s="328"/>
      <c r="B306" s="329"/>
      <c r="C306" s="90"/>
      <c r="D306" s="403" t="s">
        <v>343</v>
      </c>
      <c r="E306" s="369" t="s">
        <v>20</v>
      </c>
      <c r="F306" s="404">
        <v>385600</v>
      </c>
      <c r="G306" s="405"/>
      <c r="H306" s="333"/>
      <c r="I306" s="334">
        <v>13.3</v>
      </c>
      <c r="J306" s="335">
        <f t="shared" si="163"/>
        <v>5128480</v>
      </c>
      <c r="K306" s="336"/>
      <c r="L306" s="338">
        <f t="shared" si="161"/>
        <v>0</v>
      </c>
      <c r="M306" s="336"/>
      <c r="N306" s="338">
        <f t="shared" si="166"/>
        <v>0</v>
      </c>
      <c r="O306" s="339">
        <f t="shared" si="162"/>
        <v>13.3</v>
      </c>
      <c r="P306" s="340">
        <f t="shared" si="167"/>
        <v>13.3</v>
      </c>
      <c r="Q306" s="338">
        <f t="shared" si="168"/>
        <v>5128480</v>
      </c>
      <c r="R306" s="334">
        <f t="shared" si="169"/>
        <v>0</v>
      </c>
      <c r="S306" s="337">
        <f t="shared" si="170"/>
        <v>0</v>
      </c>
      <c r="T306" s="340">
        <f t="shared" si="171"/>
        <v>13.3</v>
      </c>
      <c r="U306" s="389"/>
      <c r="V306" s="342">
        <f t="shared" si="172"/>
        <v>5128480</v>
      </c>
      <c r="W306" s="343">
        <f t="shared" si="173"/>
        <v>0</v>
      </c>
      <c r="X306" s="390">
        <f t="shared" si="174"/>
        <v>0</v>
      </c>
      <c r="Y306" s="125">
        <f t="shared" si="164"/>
        <v>0</v>
      </c>
      <c r="Z306" s="345">
        <f t="shared" si="160"/>
        <v>0</v>
      </c>
      <c r="AA306" s="345">
        <f t="shared" si="165"/>
        <v>5128480</v>
      </c>
    </row>
    <row r="307" spans="1:27" s="355" customFormat="1" ht="15" customHeight="1">
      <c r="A307" s="170"/>
      <c r="B307" s="171"/>
      <c r="C307" s="347"/>
      <c r="D307" s="372" t="s">
        <v>344</v>
      </c>
      <c r="E307" s="373" t="s">
        <v>20</v>
      </c>
      <c r="F307" s="385">
        <v>368370</v>
      </c>
      <c r="G307" s="378"/>
      <c r="H307" s="352"/>
      <c r="I307" s="379">
        <v>5.9</v>
      </c>
      <c r="J307" s="353">
        <f t="shared" si="163"/>
        <v>2173383</v>
      </c>
      <c r="K307" s="354"/>
      <c r="L307" s="99">
        <f t="shared" si="161"/>
        <v>0</v>
      </c>
      <c r="M307" s="354">
        <v>5.61</v>
      </c>
      <c r="N307" s="99">
        <f t="shared" si="166"/>
        <v>2066555.7000000002</v>
      </c>
      <c r="O307" s="100">
        <f t="shared" si="162"/>
        <v>0.29000000000000004</v>
      </c>
      <c r="P307" s="119">
        <f t="shared" si="167"/>
        <v>0.29000000000000004</v>
      </c>
      <c r="Q307" s="176">
        <f t="shared" si="168"/>
        <v>106827.30000000002</v>
      </c>
      <c r="R307" s="103">
        <f t="shared" si="169"/>
        <v>0</v>
      </c>
      <c r="S307" s="104">
        <f t="shared" si="170"/>
        <v>0</v>
      </c>
      <c r="T307" s="119">
        <f t="shared" si="171"/>
        <v>5.9</v>
      </c>
      <c r="U307" s="374"/>
      <c r="V307" s="179">
        <f t="shared" si="172"/>
        <v>2173383</v>
      </c>
      <c r="W307" s="123">
        <f t="shared" si="173"/>
        <v>0</v>
      </c>
      <c r="X307" s="375">
        <f t="shared" si="174"/>
        <v>0</v>
      </c>
      <c r="Y307" s="125">
        <f t="shared" si="164"/>
        <v>0</v>
      </c>
      <c r="Z307" s="195">
        <f t="shared" si="160"/>
        <v>0</v>
      </c>
      <c r="AA307" s="126">
        <f t="shared" si="165"/>
        <v>106827.30000000002</v>
      </c>
    </row>
    <row r="308" spans="1:27" s="291" customFormat="1" ht="15" customHeight="1">
      <c r="A308" s="109"/>
      <c r="B308" s="110"/>
      <c r="C308" s="90"/>
      <c r="D308" s="356" t="s">
        <v>31</v>
      </c>
      <c r="E308" s="357"/>
      <c r="F308" s="376"/>
      <c r="G308" s="359"/>
      <c r="H308" s="360"/>
      <c r="I308" s="361"/>
      <c r="J308" s="362">
        <f>SUM(J302:J307)</f>
        <v>44164667.900000006</v>
      </c>
      <c r="K308" s="363"/>
      <c r="L308" s="362">
        <f>SUM(L302:L307)</f>
        <v>0</v>
      </c>
      <c r="M308" s="363"/>
      <c r="N308" s="362">
        <f>SUM(N302:N307)</f>
        <v>2066555.7000000002</v>
      </c>
      <c r="O308" s="100">
        <f t="shared" si="162"/>
        <v>0</v>
      </c>
      <c r="P308" s="364"/>
      <c r="Q308" s="362">
        <f>SUM(Q302:Q307)</f>
        <v>42098112.2</v>
      </c>
      <c r="R308" s="365"/>
      <c r="S308" s="362">
        <f>SUM(S302:S307)</f>
        <v>0</v>
      </c>
      <c r="T308" s="364"/>
      <c r="U308" s="366"/>
      <c r="V308" s="362">
        <f>SUM(V302:V307)</f>
        <v>44164667.900000006</v>
      </c>
      <c r="W308" s="367"/>
      <c r="X308" s="141">
        <f>SUM(X302:X307)</f>
        <v>0</v>
      </c>
      <c r="Y308" s="125">
        <f t="shared" si="164"/>
        <v>0</v>
      </c>
      <c r="Z308" s="126">
        <f t="shared" si="160"/>
        <v>0</v>
      </c>
      <c r="AA308" s="126">
        <f t="shared" si="165"/>
        <v>42098112.2</v>
      </c>
    </row>
    <row r="309" spans="1:27" s="291" customFormat="1" ht="15" customHeight="1">
      <c r="A309" s="109"/>
      <c r="B309" s="110"/>
      <c r="C309" s="90"/>
      <c r="D309" s="406" t="s">
        <v>345</v>
      </c>
      <c r="E309" s="369"/>
      <c r="F309" s="385"/>
      <c r="G309" s="319"/>
      <c r="H309" s="320"/>
      <c r="I309" s="103"/>
      <c r="J309" s="353"/>
      <c r="K309" s="354"/>
      <c r="L309" s="99"/>
      <c r="M309" s="354"/>
      <c r="N309" s="99"/>
      <c r="O309" s="100">
        <f t="shared" si="162"/>
        <v>0</v>
      </c>
      <c r="P309" s="325"/>
      <c r="Q309" s="322"/>
      <c r="R309" s="321"/>
      <c r="S309" s="322"/>
      <c r="T309" s="325"/>
      <c r="U309" s="326"/>
      <c r="V309" s="322"/>
      <c r="W309" s="371"/>
      <c r="X309" s="327"/>
      <c r="Y309" s="125">
        <f t="shared" si="164"/>
        <v>0</v>
      </c>
      <c r="Z309" s="126">
        <f t="shared" si="160"/>
        <v>0</v>
      </c>
      <c r="AA309" s="126">
        <f t="shared" si="165"/>
        <v>0</v>
      </c>
    </row>
    <row r="310" spans="1:27" s="355" customFormat="1" ht="15" customHeight="1">
      <c r="A310" s="109"/>
      <c r="B310" s="110"/>
      <c r="C310" s="90"/>
      <c r="D310" s="372" t="s">
        <v>346</v>
      </c>
      <c r="E310" s="373" t="s">
        <v>2</v>
      </c>
      <c r="F310" s="377">
        <v>890394</v>
      </c>
      <c r="G310" s="378"/>
      <c r="H310" s="352"/>
      <c r="I310" s="103">
        <v>2</v>
      </c>
      <c r="J310" s="353">
        <f t="shared" si="163"/>
        <v>1780788</v>
      </c>
      <c r="K310" s="354"/>
      <c r="L310" s="99">
        <f t="shared" si="161"/>
        <v>0</v>
      </c>
      <c r="M310" s="354"/>
      <c r="N310" s="99">
        <f aca="true" t="shared" si="175" ref="N310:N319">+M310*F310</f>
        <v>0</v>
      </c>
      <c r="O310" s="100">
        <f t="shared" si="162"/>
        <v>2</v>
      </c>
      <c r="P310" s="119">
        <f aca="true" t="shared" si="176" ref="P310:P319">+I310-K310-M310</f>
        <v>2</v>
      </c>
      <c r="Q310" s="99">
        <f aca="true" t="shared" si="177" ref="Q310:Q319">+P310*F310</f>
        <v>1780788</v>
      </c>
      <c r="R310" s="103">
        <f aca="true" t="shared" si="178" ref="R310:R319">+I310-K310-M310-P310</f>
        <v>0</v>
      </c>
      <c r="S310" s="104">
        <f aca="true" t="shared" si="179" ref="S310:S319">+R310*F310</f>
        <v>0</v>
      </c>
      <c r="T310" s="119">
        <f aca="true" t="shared" si="180" ref="T310:T319">+K310+M310+O310+R310</f>
        <v>2</v>
      </c>
      <c r="U310" s="374"/>
      <c r="V310" s="122">
        <f aca="true" t="shared" si="181" ref="V310:V319">+T310*F310</f>
        <v>1780788</v>
      </c>
      <c r="W310" s="123">
        <f aca="true" t="shared" si="182" ref="W310:W319">+I310-T310</f>
        <v>0</v>
      </c>
      <c r="X310" s="375">
        <f aca="true" t="shared" si="183" ref="X310:X319">+W310*F310</f>
        <v>0</v>
      </c>
      <c r="Y310" s="125">
        <f t="shared" si="164"/>
        <v>0</v>
      </c>
      <c r="Z310" s="126">
        <f t="shared" si="160"/>
        <v>0</v>
      </c>
      <c r="AA310" s="126">
        <f t="shared" si="165"/>
        <v>1780788</v>
      </c>
    </row>
    <row r="311" spans="1:27" s="355" customFormat="1" ht="15" customHeight="1">
      <c r="A311" s="109"/>
      <c r="B311" s="110">
        <v>17.2</v>
      </c>
      <c r="C311" s="90"/>
      <c r="D311" s="372" t="s">
        <v>221</v>
      </c>
      <c r="E311" s="373" t="s">
        <v>2</v>
      </c>
      <c r="F311" s="385">
        <v>1475035</v>
      </c>
      <c r="G311" s="378"/>
      <c r="H311" s="352"/>
      <c r="I311" s="103">
        <v>2</v>
      </c>
      <c r="J311" s="353">
        <f t="shared" si="163"/>
        <v>2950070</v>
      </c>
      <c r="K311" s="354"/>
      <c r="L311" s="99">
        <f t="shared" si="161"/>
        <v>0</v>
      </c>
      <c r="M311" s="354"/>
      <c r="N311" s="99">
        <f t="shared" si="175"/>
        <v>0</v>
      </c>
      <c r="O311" s="100">
        <f t="shared" si="162"/>
        <v>2</v>
      </c>
      <c r="P311" s="119">
        <f t="shared" si="176"/>
        <v>2</v>
      </c>
      <c r="Q311" s="99">
        <f t="shared" si="177"/>
        <v>2950070</v>
      </c>
      <c r="R311" s="103">
        <f t="shared" si="178"/>
        <v>0</v>
      </c>
      <c r="S311" s="104">
        <f t="shared" si="179"/>
        <v>0</v>
      </c>
      <c r="T311" s="119">
        <f t="shared" si="180"/>
        <v>2</v>
      </c>
      <c r="U311" s="374"/>
      <c r="V311" s="122">
        <f t="shared" si="181"/>
        <v>2950070</v>
      </c>
      <c r="W311" s="123">
        <f t="shared" si="182"/>
        <v>0</v>
      </c>
      <c r="X311" s="375">
        <f t="shared" si="183"/>
        <v>0</v>
      </c>
      <c r="Y311" s="125">
        <f t="shared" si="164"/>
        <v>0</v>
      </c>
      <c r="Z311" s="126">
        <f t="shared" si="160"/>
        <v>0</v>
      </c>
      <c r="AA311" s="126">
        <f t="shared" si="165"/>
        <v>2950070</v>
      </c>
    </row>
    <row r="312" spans="1:27" s="355" customFormat="1" ht="15" customHeight="1">
      <c r="A312" s="109"/>
      <c r="B312" s="110"/>
      <c r="C312" s="391" t="s">
        <v>347</v>
      </c>
      <c r="D312" s="372" t="s">
        <v>348</v>
      </c>
      <c r="E312" s="373" t="s">
        <v>20</v>
      </c>
      <c r="F312" s="385">
        <v>428974</v>
      </c>
      <c r="G312" s="378"/>
      <c r="H312" s="352"/>
      <c r="I312" s="103">
        <v>2.95</v>
      </c>
      <c r="J312" s="353">
        <f t="shared" si="163"/>
        <v>1265473.3</v>
      </c>
      <c r="K312" s="354"/>
      <c r="L312" s="99">
        <f t="shared" si="161"/>
        <v>0</v>
      </c>
      <c r="M312" s="354">
        <v>2.8</v>
      </c>
      <c r="N312" s="99">
        <f t="shared" si="175"/>
        <v>1201127.2</v>
      </c>
      <c r="O312" s="100">
        <f t="shared" si="162"/>
        <v>0.15000000000000036</v>
      </c>
      <c r="P312" s="119">
        <f t="shared" si="176"/>
        <v>0.15000000000000036</v>
      </c>
      <c r="Q312" s="99">
        <f t="shared" si="177"/>
        <v>64346.10000000015</v>
      </c>
      <c r="R312" s="103">
        <f t="shared" si="178"/>
        <v>0</v>
      </c>
      <c r="S312" s="104">
        <f t="shared" si="179"/>
        <v>0</v>
      </c>
      <c r="T312" s="119">
        <f t="shared" si="180"/>
        <v>2.95</v>
      </c>
      <c r="U312" s="374"/>
      <c r="V312" s="122">
        <f t="shared" si="181"/>
        <v>1265473.3</v>
      </c>
      <c r="W312" s="123">
        <f t="shared" si="182"/>
        <v>0</v>
      </c>
      <c r="X312" s="375">
        <f t="shared" si="183"/>
        <v>0</v>
      </c>
      <c r="Y312" s="125">
        <f t="shared" si="164"/>
        <v>0</v>
      </c>
      <c r="Z312" s="126">
        <f t="shared" si="160"/>
        <v>0</v>
      </c>
      <c r="AA312" s="126">
        <f t="shared" si="165"/>
        <v>64346.10000000015</v>
      </c>
    </row>
    <row r="313" spans="1:27" s="355" customFormat="1" ht="15" customHeight="1">
      <c r="A313" s="109"/>
      <c r="B313" s="110">
        <v>17.3</v>
      </c>
      <c r="C313" s="90"/>
      <c r="D313" s="372" t="s">
        <v>224</v>
      </c>
      <c r="E313" s="373" t="s">
        <v>20</v>
      </c>
      <c r="F313" s="385">
        <v>428974</v>
      </c>
      <c r="G313" s="378"/>
      <c r="H313" s="352"/>
      <c r="I313" s="103">
        <v>26.45</v>
      </c>
      <c r="J313" s="353">
        <f t="shared" si="163"/>
        <v>11346362.299999999</v>
      </c>
      <c r="K313" s="354"/>
      <c r="L313" s="99">
        <f t="shared" si="161"/>
        <v>0</v>
      </c>
      <c r="M313" s="354"/>
      <c r="N313" s="99">
        <f t="shared" si="175"/>
        <v>0</v>
      </c>
      <c r="O313" s="100">
        <f t="shared" si="162"/>
        <v>26.45</v>
      </c>
      <c r="P313" s="119">
        <f t="shared" si="176"/>
        <v>26.45</v>
      </c>
      <c r="Q313" s="99">
        <f t="shared" si="177"/>
        <v>11346362.299999999</v>
      </c>
      <c r="R313" s="103">
        <f t="shared" si="178"/>
        <v>0</v>
      </c>
      <c r="S313" s="104">
        <f t="shared" si="179"/>
        <v>0</v>
      </c>
      <c r="T313" s="119">
        <f t="shared" si="180"/>
        <v>26.45</v>
      </c>
      <c r="U313" s="374"/>
      <c r="V313" s="122">
        <f t="shared" si="181"/>
        <v>11346362.299999999</v>
      </c>
      <c r="W313" s="123">
        <f t="shared" si="182"/>
        <v>0</v>
      </c>
      <c r="X313" s="375">
        <f t="shared" si="183"/>
        <v>0</v>
      </c>
      <c r="Y313" s="125">
        <f t="shared" si="164"/>
        <v>0</v>
      </c>
      <c r="Z313" s="126">
        <f aca="true" t="shared" si="184" ref="Z313:Z376">+X313-Y313</f>
        <v>0</v>
      </c>
      <c r="AA313" s="126">
        <f t="shared" si="165"/>
        <v>11346362.299999999</v>
      </c>
    </row>
    <row r="314" spans="1:27" s="355" customFormat="1" ht="15" customHeight="1">
      <c r="A314" s="109"/>
      <c r="B314" s="110">
        <v>17.4</v>
      </c>
      <c r="C314" s="90"/>
      <c r="D314" s="372" t="s">
        <v>225</v>
      </c>
      <c r="E314" s="373" t="s">
        <v>2</v>
      </c>
      <c r="F314" s="377">
        <v>1846282</v>
      </c>
      <c r="G314" s="378"/>
      <c r="H314" s="352"/>
      <c r="I314" s="103">
        <v>2</v>
      </c>
      <c r="J314" s="353">
        <f t="shared" si="163"/>
        <v>3692564</v>
      </c>
      <c r="K314" s="354"/>
      <c r="L314" s="99">
        <f t="shared" si="161"/>
        <v>0</v>
      </c>
      <c r="M314" s="354"/>
      <c r="N314" s="99">
        <f t="shared" si="175"/>
        <v>0</v>
      </c>
      <c r="O314" s="100">
        <f t="shared" si="162"/>
        <v>2</v>
      </c>
      <c r="P314" s="119">
        <f t="shared" si="176"/>
        <v>2</v>
      </c>
      <c r="Q314" s="99">
        <f t="shared" si="177"/>
        <v>3692564</v>
      </c>
      <c r="R314" s="103">
        <f t="shared" si="178"/>
        <v>0</v>
      </c>
      <c r="S314" s="104">
        <f t="shared" si="179"/>
        <v>0</v>
      </c>
      <c r="T314" s="119">
        <f t="shared" si="180"/>
        <v>2</v>
      </c>
      <c r="U314" s="374"/>
      <c r="V314" s="122">
        <f t="shared" si="181"/>
        <v>3692564</v>
      </c>
      <c r="W314" s="123">
        <f t="shared" si="182"/>
        <v>0</v>
      </c>
      <c r="X314" s="375">
        <f t="shared" si="183"/>
        <v>0</v>
      </c>
      <c r="Y314" s="125">
        <f t="shared" si="164"/>
        <v>0</v>
      </c>
      <c r="Z314" s="126">
        <f t="shared" si="184"/>
        <v>0</v>
      </c>
      <c r="AA314" s="126">
        <f t="shared" si="165"/>
        <v>3692564</v>
      </c>
    </row>
    <row r="315" spans="1:27" s="355" customFormat="1" ht="15" customHeight="1">
      <c r="A315" s="109"/>
      <c r="B315" s="110">
        <v>17.5</v>
      </c>
      <c r="C315" s="90"/>
      <c r="D315" s="372" t="s">
        <v>28</v>
      </c>
      <c r="E315" s="373" t="s">
        <v>2</v>
      </c>
      <c r="F315" s="385">
        <v>281670</v>
      </c>
      <c r="G315" s="378"/>
      <c r="H315" s="352"/>
      <c r="I315" s="103">
        <v>4</v>
      </c>
      <c r="J315" s="353">
        <f t="shared" si="163"/>
        <v>1126680</v>
      </c>
      <c r="K315" s="354"/>
      <c r="L315" s="99">
        <f t="shared" si="161"/>
        <v>0</v>
      </c>
      <c r="M315" s="354"/>
      <c r="N315" s="99">
        <f t="shared" si="175"/>
        <v>0</v>
      </c>
      <c r="O315" s="100">
        <f t="shared" si="162"/>
        <v>4</v>
      </c>
      <c r="P315" s="119">
        <f t="shared" si="176"/>
        <v>4</v>
      </c>
      <c r="Q315" s="99">
        <f t="shared" si="177"/>
        <v>1126680</v>
      </c>
      <c r="R315" s="103">
        <f t="shared" si="178"/>
        <v>0</v>
      </c>
      <c r="S315" s="104">
        <f t="shared" si="179"/>
        <v>0</v>
      </c>
      <c r="T315" s="119">
        <f t="shared" si="180"/>
        <v>4</v>
      </c>
      <c r="U315" s="374"/>
      <c r="V315" s="122">
        <f t="shared" si="181"/>
        <v>1126680</v>
      </c>
      <c r="W315" s="123">
        <f t="shared" si="182"/>
        <v>0</v>
      </c>
      <c r="X315" s="375">
        <f t="shared" si="183"/>
        <v>0</v>
      </c>
      <c r="Y315" s="125">
        <f t="shared" si="164"/>
        <v>0</v>
      </c>
      <c r="Z315" s="126">
        <f t="shared" si="184"/>
        <v>0</v>
      </c>
      <c r="AA315" s="126">
        <f t="shared" si="165"/>
        <v>1126680</v>
      </c>
    </row>
    <row r="316" spans="1:27" s="355" customFormat="1" ht="15" customHeight="1">
      <c r="A316" s="109"/>
      <c r="B316" s="110">
        <v>17.6</v>
      </c>
      <c r="C316" s="90"/>
      <c r="D316" s="372" t="s">
        <v>94</v>
      </c>
      <c r="E316" s="373" t="s">
        <v>2</v>
      </c>
      <c r="F316" s="385">
        <v>211004</v>
      </c>
      <c r="G316" s="378"/>
      <c r="H316" s="352"/>
      <c r="I316" s="103">
        <v>4</v>
      </c>
      <c r="J316" s="353">
        <f t="shared" si="163"/>
        <v>844016</v>
      </c>
      <c r="K316" s="354"/>
      <c r="L316" s="99">
        <f t="shared" si="161"/>
        <v>0</v>
      </c>
      <c r="M316" s="354"/>
      <c r="N316" s="99">
        <f t="shared" si="175"/>
        <v>0</v>
      </c>
      <c r="O316" s="100">
        <f t="shared" si="162"/>
        <v>4</v>
      </c>
      <c r="P316" s="119">
        <f t="shared" si="176"/>
        <v>4</v>
      </c>
      <c r="Q316" s="99">
        <f t="shared" si="177"/>
        <v>844016</v>
      </c>
      <c r="R316" s="103">
        <f t="shared" si="178"/>
        <v>0</v>
      </c>
      <c r="S316" s="104">
        <f t="shared" si="179"/>
        <v>0</v>
      </c>
      <c r="T316" s="119">
        <f t="shared" si="180"/>
        <v>4</v>
      </c>
      <c r="U316" s="374"/>
      <c r="V316" s="122">
        <f t="shared" si="181"/>
        <v>844016</v>
      </c>
      <c r="W316" s="123">
        <f t="shared" si="182"/>
        <v>0</v>
      </c>
      <c r="X316" s="375">
        <f t="shared" si="183"/>
        <v>0</v>
      </c>
      <c r="Y316" s="125">
        <f t="shared" si="164"/>
        <v>0</v>
      </c>
      <c r="Z316" s="126">
        <f t="shared" si="184"/>
        <v>0</v>
      </c>
      <c r="AA316" s="126">
        <f t="shared" si="165"/>
        <v>844016</v>
      </c>
    </row>
    <row r="317" spans="1:27" s="355" customFormat="1" ht="15" customHeight="1">
      <c r="A317" s="109"/>
      <c r="B317" s="110">
        <v>17.7</v>
      </c>
      <c r="C317" s="90"/>
      <c r="D317" s="372" t="s">
        <v>226</v>
      </c>
      <c r="E317" s="373" t="s">
        <v>2</v>
      </c>
      <c r="F317" s="377">
        <v>295604</v>
      </c>
      <c r="G317" s="378"/>
      <c r="H317" s="352"/>
      <c r="I317" s="103">
        <v>0</v>
      </c>
      <c r="J317" s="353">
        <f t="shared" si="163"/>
        <v>0</v>
      </c>
      <c r="K317" s="354"/>
      <c r="L317" s="99">
        <f t="shared" si="161"/>
        <v>0</v>
      </c>
      <c r="M317" s="354"/>
      <c r="N317" s="99">
        <f t="shared" si="175"/>
        <v>0</v>
      </c>
      <c r="O317" s="100">
        <f t="shared" si="162"/>
        <v>0</v>
      </c>
      <c r="P317" s="119">
        <f t="shared" si="176"/>
        <v>0</v>
      </c>
      <c r="Q317" s="99">
        <f t="shared" si="177"/>
        <v>0</v>
      </c>
      <c r="R317" s="103">
        <f t="shared" si="178"/>
        <v>0</v>
      </c>
      <c r="S317" s="104">
        <f t="shared" si="179"/>
        <v>0</v>
      </c>
      <c r="T317" s="119">
        <f t="shared" si="180"/>
        <v>0</v>
      </c>
      <c r="U317" s="374"/>
      <c r="V317" s="122">
        <f t="shared" si="181"/>
        <v>0</v>
      </c>
      <c r="W317" s="123">
        <f t="shared" si="182"/>
        <v>0</v>
      </c>
      <c r="X317" s="375">
        <f t="shared" si="183"/>
        <v>0</v>
      </c>
      <c r="Y317" s="125">
        <f t="shared" si="164"/>
        <v>0</v>
      </c>
      <c r="Z317" s="126">
        <f t="shared" si="184"/>
        <v>0</v>
      </c>
      <c r="AA317" s="126">
        <f t="shared" si="165"/>
        <v>0</v>
      </c>
    </row>
    <row r="318" spans="1:27" s="355" customFormat="1" ht="15" customHeight="1">
      <c r="A318" s="109"/>
      <c r="B318" s="110"/>
      <c r="C318" s="90"/>
      <c r="D318" s="372" t="s">
        <v>226</v>
      </c>
      <c r="E318" s="373" t="s">
        <v>2</v>
      </c>
      <c r="F318" s="377">
        <v>281670</v>
      </c>
      <c r="G318" s="378"/>
      <c r="H318" s="352"/>
      <c r="I318" s="103">
        <v>20</v>
      </c>
      <c r="J318" s="353">
        <f t="shared" si="163"/>
        <v>5633400</v>
      </c>
      <c r="K318" s="354"/>
      <c r="L318" s="99">
        <f t="shared" si="161"/>
        <v>0</v>
      </c>
      <c r="M318" s="354"/>
      <c r="N318" s="99">
        <f t="shared" si="175"/>
        <v>0</v>
      </c>
      <c r="O318" s="100">
        <f t="shared" si="162"/>
        <v>20</v>
      </c>
      <c r="P318" s="119">
        <f t="shared" si="176"/>
        <v>20</v>
      </c>
      <c r="Q318" s="99">
        <f t="shared" si="177"/>
        <v>5633400</v>
      </c>
      <c r="R318" s="103">
        <f t="shared" si="178"/>
        <v>0</v>
      </c>
      <c r="S318" s="104">
        <f t="shared" si="179"/>
        <v>0</v>
      </c>
      <c r="T318" s="119">
        <f t="shared" si="180"/>
        <v>20</v>
      </c>
      <c r="U318" s="374"/>
      <c r="V318" s="122">
        <f t="shared" si="181"/>
        <v>5633400</v>
      </c>
      <c r="W318" s="123">
        <f t="shared" si="182"/>
        <v>0</v>
      </c>
      <c r="X318" s="375">
        <f t="shared" si="183"/>
        <v>0</v>
      </c>
      <c r="Y318" s="125">
        <f t="shared" si="164"/>
        <v>0</v>
      </c>
      <c r="Z318" s="126">
        <f t="shared" si="184"/>
        <v>0</v>
      </c>
      <c r="AA318" s="126">
        <f t="shared" si="165"/>
        <v>5633400</v>
      </c>
    </row>
    <row r="319" spans="1:27" s="355" customFormat="1" ht="15" customHeight="1">
      <c r="A319" s="109"/>
      <c r="B319" s="110">
        <v>7.3</v>
      </c>
      <c r="C319" s="90"/>
      <c r="D319" s="383" t="s">
        <v>349</v>
      </c>
      <c r="E319" s="373" t="s">
        <v>20</v>
      </c>
      <c r="F319" s="385">
        <v>428974</v>
      </c>
      <c r="G319" s="378"/>
      <c r="H319" s="352"/>
      <c r="I319" s="103">
        <v>44.2</v>
      </c>
      <c r="J319" s="353">
        <f t="shared" si="163"/>
        <v>18960650.8</v>
      </c>
      <c r="K319" s="354"/>
      <c r="L319" s="99">
        <f t="shared" si="161"/>
        <v>0</v>
      </c>
      <c r="M319" s="354"/>
      <c r="N319" s="99">
        <f t="shared" si="175"/>
        <v>0</v>
      </c>
      <c r="O319" s="100">
        <f t="shared" si="162"/>
        <v>44.2</v>
      </c>
      <c r="P319" s="119">
        <f t="shared" si="176"/>
        <v>44.2</v>
      </c>
      <c r="Q319" s="99">
        <f t="shared" si="177"/>
        <v>18960650.8</v>
      </c>
      <c r="R319" s="103">
        <f t="shared" si="178"/>
        <v>0</v>
      </c>
      <c r="S319" s="104">
        <f t="shared" si="179"/>
        <v>0</v>
      </c>
      <c r="T319" s="119">
        <f t="shared" si="180"/>
        <v>44.2</v>
      </c>
      <c r="U319" s="374"/>
      <c r="V319" s="122">
        <f t="shared" si="181"/>
        <v>18960650.8</v>
      </c>
      <c r="W319" s="123">
        <f t="shared" si="182"/>
        <v>0</v>
      </c>
      <c r="X319" s="375">
        <f t="shared" si="183"/>
        <v>0</v>
      </c>
      <c r="Y319" s="125">
        <f t="shared" si="164"/>
        <v>0</v>
      </c>
      <c r="Z319" s="126">
        <f t="shared" si="184"/>
        <v>0</v>
      </c>
      <c r="AA319" s="126">
        <f t="shared" si="165"/>
        <v>18960650.8</v>
      </c>
    </row>
    <row r="320" spans="1:27" s="291" customFormat="1" ht="15" customHeight="1">
      <c r="A320" s="109"/>
      <c r="B320" s="110"/>
      <c r="C320" s="90"/>
      <c r="D320" s="356" t="s">
        <v>31</v>
      </c>
      <c r="E320" s="357"/>
      <c r="F320" s="376"/>
      <c r="G320" s="359"/>
      <c r="H320" s="360"/>
      <c r="I320" s="361"/>
      <c r="J320" s="362">
        <f>SUM(J310:J319)</f>
        <v>47600004.4</v>
      </c>
      <c r="K320" s="363"/>
      <c r="L320" s="362">
        <f>SUM(L310:L319)</f>
        <v>0</v>
      </c>
      <c r="M320" s="363"/>
      <c r="N320" s="362">
        <f>SUM(N310:N319)</f>
        <v>1201127.2</v>
      </c>
      <c r="O320" s="100">
        <f t="shared" si="162"/>
        <v>0</v>
      </c>
      <c r="P320" s="364"/>
      <c r="Q320" s="362">
        <f>SUM(Q310:Q319)</f>
        <v>46398877.2</v>
      </c>
      <c r="R320" s="365"/>
      <c r="S320" s="362">
        <f>SUM(S310:S319)</f>
        <v>0</v>
      </c>
      <c r="T320" s="364"/>
      <c r="U320" s="366"/>
      <c r="V320" s="362">
        <f>SUM(V310:V319)</f>
        <v>47600004.4</v>
      </c>
      <c r="W320" s="367"/>
      <c r="X320" s="141">
        <f>SUM(X310:X319)</f>
        <v>0</v>
      </c>
      <c r="Y320" s="125">
        <f t="shared" si="164"/>
        <v>0</v>
      </c>
      <c r="Z320" s="126">
        <f t="shared" si="184"/>
        <v>0</v>
      </c>
      <c r="AA320" s="126">
        <f t="shared" si="165"/>
        <v>46398877.2</v>
      </c>
    </row>
    <row r="321" spans="1:27" s="291" customFormat="1" ht="15" customHeight="1">
      <c r="A321" s="109">
        <v>18</v>
      </c>
      <c r="B321" s="110"/>
      <c r="C321" s="90"/>
      <c r="D321" s="392" t="s">
        <v>350</v>
      </c>
      <c r="E321" s="381"/>
      <c r="F321" s="382"/>
      <c r="G321" s="319"/>
      <c r="H321" s="320"/>
      <c r="I321" s="103"/>
      <c r="J321" s="353"/>
      <c r="K321" s="354"/>
      <c r="L321" s="99"/>
      <c r="M321" s="354"/>
      <c r="N321" s="99"/>
      <c r="O321" s="100">
        <f t="shared" si="162"/>
        <v>0</v>
      </c>
      <c r="P321" s="325"/>
      <c r="Q321" s="322"/>
      <c r="R321" s="321"/>
      <c r="S321" s="322"/>
      <c r="T321" s="325"/>
      <c r="U321" s="326"/>
      <c r="V321" s="322"/>
      <c r="W321" s="371"/>
      <c r="X321" s="327"/>
      <c r="Y321" s="125">
        <f t="shared" si="164"/>
        <v>0</v>
      </c>
      <c r="Z321" s="126">
        <f t="shared" si="184"/>
        <v>0</v>
      </c>
      <c r="AA321" s="126">
        <f t="shared" si="165"/>
        <v>0</v>
      </c>
    </row>
    <row r="322" spans="1:27" s="355" customFormat="1" ht="15" customHeight="1">
      <c r="A322" s="109"/>
      <c r="B322" s="110"/>
      <c r="C322" s="391" t="s">
        <v>338</v>
      </c>
      <c r="D322" s="372" t="s">
        <v>76</v>
      </c>
      <c r="E322" s="373" t="s">
        <v>2</v>
      </c>
      <c r="F322" s="385">
        <v>1475035</v>
      </c>
      <c r="G322" s="378"/>
      <c r="H322" s="352"/>
      <c r="I322" s="379">
        <v>7</v>
      </c>
      <c r="J322" s="353">
        <f t="shared" si="163"/>
        <v>10325245</v>
      </c>
      <c r="K322" s="354"/>
      <c r="L322" s="99">
        <f t="shared" si="161"/>
        <v>0</v>
      </c>
      <c r="M322" s="354"/>
      <c r="N322" s="99">
        <f aca="true" t="shared" si="185" ref="N322:N331">+M322*F322</f>
        <v>0</v>
      </c>
      <c r="O322" s="100">
        <f t="shared" si="162"/>
        <v>7</v>
      </c>
      <c r="P322" s="119">
        <f aca="true" t="shared" si="186" ref="P322:P331">+I322-K322-M322</f>
        <v>7</v>
      </c>
      <c r="Q322" s="99">
        <f aca="true" t="shared" si="187" ref="Q322:Q331">+P322*F322</f>
        <v>10325245</v>
      </c>
      <c r="R322" s="103">
        <f aca="true" t="shared" si="188" ref="R322:R331">+I322-K322-M322-P322</f>
        <v>0</v>
      </c>
      <c r="S322" s="104">
        <f aca="true" t="shared" si="189" ref="S322:S331">+R322*F322</f>
        <v>0</v>
      </c>
      <c r="T322" s="119">
        <f aca="true" t="shared" si="190" ref="T322:T331">+K322+M322+O322+R322</f>
        <v>7</v>
      </c>
      <c r="U322" s="374"/>
      <c r="V322" s="122">
        <f aca="true" t="shared" si="191" ref="V322:V329">+T322*F322</f>
        <v>10325245</v>
      </c>
      <c r="W322" s="123">
        <f aca="true" t="shared" si="192" ref="W322:W329">+I322-T322</f>
        <v>0</v>
      </c>
      <c r="X322" s="375">
        <f aca="true" t="shared" si="193" ref="X322:X329">+W322*F322</f>
        <v>0</v>
      </c>
      <c r="Y322" s="125">
        <f t="shared" si="164"/>
        <v>0</v>
      </c>
      <c r="Z322" s="126">
        <f t="shared" si="184"/>
        <v>0</v>
      </c>
      <c r="AA322" s="126">
        <f t="shared" si="165"/>
        <v>10325245</v>
      </c>
    </row>
    <row r="323" spans="1:27" s="355" customFormat="1" ht="15" customHeight="1">
      <c r="A323" s="109"/>
      <c r="B323" s="110"/>
      <c r="C323" s="391" t="s">
        <v>330</v>
      </c>
      <c r="D323" s="372" t="s">
        <v>26</v>
      </c>
      <c r="E323" s="373" t="s">
        <v>20</v>
      </c>
      <c r="F323" s="385">
        <v>428974</v>
      </c>
      <c r="G323" s="378"/>
      <c r="H323" s="352"/>
      <c r="I323" s="379">
        <v>47.29</v>
      </c>
      <c r="J323" s="353">
        <f t="shared" si="163"/>
        <v>20286180.46</v>
      </c>
      <c r="K323" s="354"/>
      <c r="L323" s="99">
        <f t="shared" si="161"/>
        <v>0</v>
      </c>
      <c r="M323" s="354">
        <v>66.23</v>
      </c>
      <c r="N323" s="99">
        <f t="shared" si="185"/>
        <v>28410948.020000003</v>
      </c>
      <c r="O323" s="100">
        <f t="shared" si="162"/>
        <v>-18.940000000000005</v>
      </c>
      <c r="P323" s="119">
        <f t="shared" si="186"/>
        <v>-18.940000000000005</v>
      </c>
      <c r="Q323" s="99">
        <f t="shared" si="187"/>
        <v>-8124767.560000002</v>
      </c>
      <c r="R323" s="103">
        <f t="shared" si="188"/>
        <v>0</v>
      </c>
      <c r="S323" s="104">
        <f t="shared" si="189"/>
        <v>0</v>
      </c>
      <c r="T323" s="119">
        <f t="shared" si="190"/>
        <v>47.29</v>
      </c>
      <c r="U323" s="374"/>
      <c r="V323" s="122">
        <f t="shared" si="191"/>
        <v>20286180.46</v>
      </c>
      <c r="W323" s="123">
        <f t="shared" si="192"/>
        <v>0</v>
      </c>
      <c r="X323" s="375">
        <f t="shared" si="193"/>
        <v>0</v>
      </c>
      <c r="Y323" s="125">
        <f t="shared" si="164"/>
        <v>0</v>
      </c>
      <c r="Z323" s="126">
        <f t="shared" si="184"/>
        <v>0</v>
      </c>
      <c r="AA323" s="126">
        <f t="shared" si="165"/>
        <v>-8124767.560000002</v>
      </c>
    </row>
    <row r="324" spans="1:27" s="355" customFormat="1" ht="15" customHeight="1">
      <c r="A324" s="109"/>
      <c r="B324" s="110">
        <v>18.2</v>
      </c>
      <c r="C324" s="391"/>
      <c r="D324" s="407" t="s">
        <v>231</v>
      </c>
      <c r="E324" s="373"/>
      <c r="F324" s="385"/>
      <c r="G324" s="378"/>
      <c r="H324" s="352"/>
      <c r="I324" s="379"/>
      <c r="J324" s="353"/>
      <c r="K324" s="354"/>
      <c r="L324" s="99">
        <f t="shared" si="161"/>
        <v>0</v>
      </c>
      <c r="M324" s="354"/>
      <c r="N324" s="99">
        <f t="shared" si="185"/>
        <v>0</v>
      </c>
      <c r="O324" s="100">
        <f t="shared" si="162"/>
        <v>0</v>
      </c>
      <c r="P324" s="119">
        <f t="shared" si="186"/>
        <v>0</v>
      </c>
      <c r="Q324" s="99">
        <f t="shared" si="187"/>
        <v>0</v>
      </c>
      <c r="R324" s="103">
        <f t="shared" si="188"/>
        <v>0</v>
      </c>
      <c r="S324" s="104">
        <f t="shared" si="189"/>
        <v>0</v>
      </c>
      <c r="T324" s="119">
        <f t="shared" si="190"/>
        <v>0</v>
      </c>
      <c r="U324" s="374"/>
      <c r="V324" s="122"/>
      <c r="W324" s="123"/>
      <c r="X324" s="375"/>
      <c r="Y324" s="125">
        <f t="shared" si="164"/>
        <v>0</v>
      </c>
      <c r="Z324" s="126">
        <f t="shared" si="184"/>
        <v>0</v>
      </c>
      <c r="AA324" s="126">
        <f t="shared" si="165"/>
        <v>0</v>
      </c>
    </row>
    <row r="325" spans="1:27" s="355" customFormat="1" ht="15" customHeight="1">
      <c r="A325" s="109"/>
      <c r="B325" s="110"/>
      <c r="C325" s="391" t="s">
        <v>351</v>
      </c>
      <c r="D325" s="372" t="s">
        <v>233</v>
      </c>
      <c r="E325" s="373" t="s">
        <v>2</v>
      </c>
      <c r="F325" s="385">
        <v>295604</v>
      </c>
      <c r="G325" s="378"/>
      <c r="H325" s="352"/>
      <c r="I325" s="379">
        <v>10</v>
      </c>
      <c r="J325" s="353">
        <f t="shared" si="163"/>
        <v>2956040</v>
      </c>
      <c r="K325" s="354"/>
      <c r="L325" s="99">
        <f t="shared" si="161"/>
        <v>0</v>
      </c>
      <c r="M325" s="354"/>
      <c r="N325" s="99">
        <f t="shared" si="185"/>
        <v>0</v>
      </c>
      <c r="O325" s="100">
        <f t="shared" si="162"/>
        <v>10</v>
      </c>
      <c r="P325" s="119">
        <f t="shared" si="186"/>
        <v>10</v>
      </c>
      <c r="Q325" s="99">
        <f t="shared" si="187"/>
        <v>2956040</v>
      </c>
      <c r="R325" s="103">
        <f t="shared" si="188"/>
        <v>0</v>
      </c>
      <c r="S325" s="104">
        <f t="shared" si="189"/>
        <v>0</v>
      </c>
      <c r="T325" s="119">
        <f t="shared" si="190"/>
        <v>10</v>
      </c>
      <c r="U325" s="374"/>
      <c r="V325" s="122">
        <f t="shared" si="191"/>
        <v>2956040</v>
      </c>
      <c r="W325" s="123">
        <f t="shared" si="192"/>
        <v>0</v>
      </c>
      <c r="X325" s="375">
        <f t="shared" si="193"/>
        <v>0</v>
      </c>
      <c r="Y325" s="125">
        <f t="shared" si="164"/>
        <v>0</v>
      </c>
      <c r="Z325" s="126">
        <f t="shared" si="184"/>
        <v>0</v>
      </c>
      <c r="AA325" s="126">
        <f t="shared" si="165"/>
        <v>2956040</v>
      </c>
    </row>
    <row r="326" spans="1:27" s="355" customFormat="1" ht="15" customHeight="1">
      <c r="A326" s="109"/>
      <c r="B326" s="110"/>
      <c r="C326" s="391" t="s">
        <v>352</v>
      </c>
      <c r="D326" s="372" t="s">
        <v>26</v>
      </c>
      <c r="E326" s="373" t="s">
        <v>20</v>
      </c>
      <c r="F326" s="385">
        <v>428974</v>
      </c>
      <c r="G326" s="378"/>
      <c r="H326" s="352"/>
      <c r="I326" s="379">
        <v>81.05</v>
      </c>
      <c r="J326" s="353">
        <f t="shared" si="163"/>
        <v>34768342.699999996</v>
      </c>
      <c r="K326" s="354"/>
      <c r="L326" s="99">
        <f t="shared" si="161"/>
        <v>0</v>
      </c>
      <c r="M326" s="354"/>
      <c r="N326" s="99">
        <f t="shared" si="185"/>
        <v>0</v>
      </c>
      <c r="O326" s="100">
        <f t="shared" si="162"/>
        <v>81.05</v>
      </c>
      <c r="P326" s="119">
        <f t="shared" si="186"/>
        <v>81.05</v>
      </c>
      <c r="Q326" s="99">
        <f t="shared" si="187"/>
        <v>34768342.699999996</v>
      </c>
      <c r="R326" s="103">
        <f t="shared" si="188"/>
        <v>0</v>
      </c>
      <c r="S326" s="104">
        <f t="shared" si="189"/>
        <v>0</v>
      </c>
      <c r="T326" s="119">
        <f t="shared" si="190"/>
        <v>81.05</v>
      </c>
      <c r="U326" s="374"/>
      <c r="V326" s="122">
        <f t="shared" si="191"/>
        <v>34768342.699999996</v>
      </c>
      <c r="W326" s="123">
        <f t="shared" si="192"/>
        <v>0</v>
      </c>
      <c r="X326" s="375">
        <f t="shared" si="193"/>
        <v>0</v>
      </c>
      <c r="Y326" s="125">
        <f t="shared" si="164"/>
        <v>0</v>
      </c>
      <c r="Z326" s="126">
        <f t="shared" si="184"/>
        <v>0</v>
      </c>
      <c r="AA326" s="126">
        <f t="shared" si="165"/>
        <v>34768342.699999996</v>
      </c>
    </row>
    <row r="327" spans="1:27" s="355" customFormat="1" ht="15" customHeight="1">
      <c r="A327" s="109"/>
      <c r="B327" s="110">
        <v>18.3</v>
      </c>
      <c r="C327" s="90"/>
      <c r="D327" s="372" t="s">
        <v>28</v>
      </c>
      <c r="E327" s="373" t="s">
        <v>2</v>
      </c>
      <c r="F327" s="385">
        <v>281670</v>
      </c>
      <c r="G327" s="378"/>
      <c r="H327" s="352"/>
      <c r="I327" s="379">
        <v>17</v>
      </c>
      <c r="J327" s="353">
        <f t="shared" si="163"/>
        <v>4788390</v>
      </c>
      <c r="K327" s="354"/>
      <c r="L327" s="99">
        <f aca="true" t="shared" si="194" ref="L327:L390">+K327*H327</f>
        <v>0</v>
      </c>
      <c r="M327" s="354">
        <v>17</v>
      </c>
      <c r="N327" s="99">
        <f t="shared" si="185"/>
        <v>4788390</v>
      </c>
      <c r="O327" s="100">
        <f aca="true" t="shared" si="195" ref="O327:O390">+I327-K327-M327</f>
        <v>0</v>
      </c>
      <c r="P327" s="119">
        <f t="shared" si="186"/>
        <v>0</v>
      </c>
      <c r="Q327" s="99">
        <f t="shared" si="187"/>
        <v>0</v>
      </c>
      <c r="R327" s="103">
        <f t="shared" si="188"/>
        <v>0</v>
      </c>
      <c r="S327" s="104">
        <f t="shared" si="189"/>
        <v>0</v>
      </c>
      <c r="T327" s="119">
        <f t="shared" si="190"/>
        <v>17</v>
      </c>
      <c r="U327" s="374"/>
      <c r="V327" s="122">
        <f t="shared" si="191"/>
        <v>4788390</v>
      </c>
      <c r="W327" s="123">
        <f t="shared" si="192"/>
        <v>0</v>
      </c>
      <c r="X327" s="375">
        <f t="shared" si="193"/>
        <v>0</v>
      </c>
      <c r="Y327" s="125">
        <f t="shared" si="164"/>
        <v>0</v>
      </c>
      <c r="Z327" s="126">
        <f t="shared" si="184"/>
        <v>0</v>
      </c>
      <c r="AA327" s="126">
        <f t="shared" si="165"/>
        <v>0</v>
      </c>
    </row>
    <row r="328" spans="1:27" s="355" customFormat="1" ht="15" customHeight="1">
      <c r="A328" s="109"/>
      <c r="B328" s="110">
        <v>18.4</v>
      </c>
      <c r="C328" s="90"/>
      <c r="D328" s="372" t="s">
        <v>94</v>
      </c>
      <c r="E328" s="373" t="s">
        <v>2</v>
      </c>
      <c r="F328" s="385">
        <v>211004</v>
      </c>
      <c r="G328" s="378"/>
      <c r="H328" s="352"/>
      <c r="I328" s="379">
        <v>34</v>
      </c>
      <c r="J328" s="353">
        <f t="shared" si="163"/>
        <v>7174136</v>
      </c>
      <c r="K328" s="354"/>
      <c r="L328" s="99">
        <f t="shared" si="194"/>
        <v>0</v>
      </c>
      <c r="M328" s="354"/>
      <c r="N328" s="99">
        <f t="shared" si="185"/>
        <v>0</v>
      </c>
      <c r="O328" s="100">
        <f t="shared" si="195"/>
        <v>34</v>
      </c>
      <c r="P328" s="119">
        <f t="shared" si="186"/>
        <v>34</v>
      </c>
      <c r="Q328" s="99">
        <f t="shared" si="187"/>
        <v>7174136</v>
      </c>
      <c r="R328" s="103">
        <f t="shared" si="188"/>
        <v>0</v>
      </c>
      <c r="S328" s="104">
        <f t="shared" si="189"/>
        <v>0</v>
      </c>
      <c r="T328" s="119">
        <f t="shared" si="190"/>
        <v>34</v>
      </c>
      <c r="U328" s="374"/>
      <c r="V328" s="122">
        <f t="shared" si="191"/>
        <v>7174136</v>
      </c>
      <c r="W328" s="123">
        <f t="shared" si="192"/>
        <v>0</v>
      </c>
      <c r="X328" s="375">
        <f t="shared" si="193"/>
        <v>0</v>
      </c>
      <c r="Y328" s="125">
        <f t="shared" si="164"/>
        <v>0</v>
      </c>
      <c r="Z328" s="126">
        <f t="shared" si="184"/>
        <v>0</v>
      </c>
      <c r="AA328" s="126">
        <f t="shared" si="165"/>
        <v>7174136</v>
      </c>
    </row>
    <row r="329" spans="1:27" s="355" customFormat="1" ht="15" customHeight="1">
      <c r="A329" s="109"/>
      <c r="B329" s="110"/>
      <c r="C329" s="90"/>
      <c r="D329" s="383" t="s">
        <v>353</v>
      </c>
      <c r="E329" s="373" t="s">
        <v>20</v>
      </c>
      <c r="F329" s="377">
        <f>+F305</f>
        <v>416035</v>
      </c>
      <c r="G329" s="378"/>
      <c r="H329" s="352"/>
      <c r="I329" s="379">
        <v>13.3</v>
      </c>
      <c r="J329" s="353">
        <f t="shared" si="163"/>
        <v>5533265.5</v>
      </c>
      <c r="K329" s="354"/>
      <c r="L329" s="99">
        <f t="shared" si="194"/>
        <v>0</v>
      </c>
      <c r="M329" s="354"/>
      <c r="N329" s="99">
        <f t="shared" si="185"/>
        <v>0</v>
      </c>
      <c r="O329" s="100">
        <f t="shared" si="195"/>
        <v>13.3</v>
      </c>
      <c r="P329" s="119">
        <f t="shared" si="186"/>
        <v>13.3</v>
      </c>
      <c r="Q329" s="99">
        <f t="shared" si="187"/>
        <v>5533265.5</v>
      </c>
      <c r="R329" s="103">
        <f t="shared" si="188"/>
        <v>0</v>
      </c>
      <c r="S329" s="104">
        <f t="shared" si="189"/>
        <v>0</v>
      </c>
      <c r="T329" s="119">
        <f t="shared" si="190"/>
        <v>13.3</v>
      </c>
      <c r="U329" s="374"/>
      <c r="V329" s="122">
        <f t="shared" si="191"/>
        <v>5533265.5</v>
      </c>
      <c r="W329" s="123">
        <f t="shared" si="192"/>
        <v>0</v>
      </c>
      <c r="X329" s="375">
        <f t="shared" si="193"/>
        <v>0</v>
      </c>
      <c r="Y329" s="125">
        <f t="shared" si="164"/>
        <v>0</v>
      </c>
      <c r="Z329" s="126">
        <f t="shared" si="184"/>
        <v>0</v>
      </c>
      <c r="AA329" s="126">
        <f t="shared" si="165"/>
        <v>5533265.5</v>
      </c>
    </row>
    <row r="330" spans="1:27" s="355" customFormat="1" ht="15" customHeight="1" hidden="1">
      <c r="A330" s="109"/>
      <c r="B330" s="110"/>
      <c r="C330" s="90"/>
      <c r="D330" s="383"/>
      <c r="E330" s="373"/>
      <c r="F330" s="385"/>
      <c r="G330" s="378"/>
      <c r="H330" s="352"/>
      <c r="I330" s="379">
        <v>13.3</v>
      </c>
      <c r="J330" s="353">
        <f t="shared" si="163"/>
        <v>0</v>
      </c>
      <c r="K330" s="354"/>
      <c r="L330" s="99">
        <f t="shared" si="194"/>
        <v>0</v>
      </c>
      <c r="M330" s="354"/>
      <c r="N330" s="99">
        <f t="shared" si="185"/>
        <v>0</v>
      </c>
      <c r="O330" s="100">
        <f t="shared" si="195"/>
        <v>13.3</v>
      </c>
      <c r="P330" s="119">
        <f t="shared" si="186"/>
        <v>13.3</v>
      </c>
      <c r="Q330" s="99">
        <f t="shared" si="187"/>
        <v>0</v>
      </c>
      <c r="R330" s="103">
        <f t="shared" si="188"/>
        <v>0</v>
      </c>
      <c r="S330" s="104">
        <f t="shared" si="189"/>
        <v>0</v>
      </c>
      <c r="T330" s="119">
        <f t="shared" si="190"/>
        <v>13.3</v>
      </c>
      <c r="U330" s="374"/>
      <c r="V330" s="122">
        <f>+T330*F330</f>
        <v>0</v>
      </c>
      <c r="W330" s="123">
        <f>+I330-T330</f>
        <v>0</v>
      </c>
      <c r="X330" s="375">
        <f>+W330*F330</f>
        <v>0</v>
      </c>
      <c r="Y330" s="125">
        <f t="shared" si="164"/>
        <v>0</v>
      </c>
      <c r="Z330" s="126">
        <f t="shared" si="184"/>
        <v>0</v>
      </c>
      <c r="AA330" s="126">
        <f t="shared" si="165"/>
        <v>0</v>
      </c>
    </row>
    <row r="331" spans="1:27" s="355" customFormat="1" ht="38.25" customHeight="1">
      <c r="A331" s="170"/>
      <c r="B331" s="171"/>
      <c r="C331" s="347"/>
      <c r="D331" s="402" t="s">
        <v>343</v>
      </c>
      <c r="E331" s="373" t="s">
        <v>20</v>
      </c>
      <c r="F331" s="377">
        <v>385600</v>
      </c>
      <c r="G331" s="378"/>
      <c r="H331" s="352"/>
      <c r="I331" s="379">
        <v>13.3</v>
      </c>
      <c r="J331" s="353">
        <f t="shared" si="163"/>
        <v>5128480</v>
      </c>
      <c r="K331" s="354"/>
      <c r="L331" s="176">
        <f t="shared" si="194"/>
        <v>0</v>
      </c>
      <c r="M331" s="354"/>
      <c r="N331" s="176">
        <f t="shared" si="185"/>
        <v>0</v>
      </c>
      <c r="O331" s="192">
        <f t="shared" si="195"/>
        <v>13.3</v>
      </c>
      <c r="P331" s="193">
        <f t="shared" si="186"/>
        <v>13.3</v>
      </c>
      <c r="Q331" s="176">
        <f t="shared" si="187"/>
        <v>5128480</v>
      </c>
      <c r="R331" s="190">
        <f t="shared" si="188"/>
        <v>0</v>
      </c>
      <c r="S331" s="194">
        <f t="shared" si="189"/>
        <v>0</v>
      </c>
      <c r="T331" s="193">
        <f t="shared" si="190"/>
        <v>13.3</v>
      </c>
      <c r="U331" s="374"/>
      <c r="V331" s="179">
        <f>+T331*F331</f>
        <v>5128480</v>
      </c>
      <c r="W331" s="123">
        <f>+I331-T331</f>
        <v>0</v>
      </c>
      <c r="X331" s="375">
        <f>+W331*F331</f>
        <v>0</v>
      </c>
      <c r="Y331" s="125">
        <f t="shared" si="164"/>
        <v>0</v>
      </c>
      <c r="Z331" s="195">
        <f t="shared" si="184"/>
        <v>0</v>
      </c>
      <c r="AA331" s="195">
        <f t="shared" si="165"/>
        <v>5128480</v>
      </c>
    </row>
    <row r="332" spans="1:27" s="291" customFormat="1" ht="15" customHeight="1">
      <c r="A332" s="109"/>
      <c r="B332" s="110"/>
      <c r="C332" s="90"/>
      <c r="D332" s="356" t="s">
        <v>31</v>
      </c>
      <c r="E332" s="357"/>
      <c r="F332" s="376"/>
      <c r="G332" s="359"/>
      <c r="H332" s="360"/>
      <c r="I332" s="361"/>
      <c r="J332" s="362">
        <f>SUM(J322:J331)</f>
        <v>90960079.66</v>
      </c>
      <c r="K332" s="363"/>
      <c r="L332" s="362">
        <f>SUM(L322:L331)</f>
        <v>0</v>
      </c>
      <c r="M332" s="363"/>
      <c r="N332" s="362">
        <f>SUM(N322:N331)</f>
        <v>33199338.020000003</v>
      </c>
      <c r="O332" s="100">
        <f t="shared" si="195"/>
        <v>0</v>
      </c>
      <c r="P332" s="364"/>
      <c r="Q332" s="362">
        <f>SUM(Q322:Q331)</f>
        <v>57760741.63999999</v>
      </c>
      <c r="R332" s="365"/>
      <c r="S332" s="362">
        <f>SUM(S322:S331)</f>
        <v>0</v>
      </c>
      <c r="T332" s="364"/>
      <c r="U332" s="366"/>
      <c r="V332" s="362">
        <f>SUM(V322:V331)</f>
        <v>90960079.66</v>
      </c>
      <c r="W332" s="367"/>
      <c r="X332" s="141">
        <f>SUM(X322:X331)</f>
        <v>0</v>
      </c>
      <c r="Y332" s="125">
        <f t="shared" si="164"/>
        <v>0</v>
      </c>
      <c r="Z332" s="126">
        <f t="shared" si="184"/>
        <v>0</v>
      </c>
      <c r="AA332" s="126">
        <f t="shared" si="165"/>
        <v>57760741.63999999</v>
      </c>
    </row>
    <row r="333" spans="1:27" s="291" customFormat="1" ht="15" customHeight="1">
      <c r="A333" s="109">
        <v>19</v>
      </c>
      <c r="B333" s="110"/>
      <c r="C333" s="90"/>
      <c r="D333" s="392" t="s">
        <v>235</v>
      </c>
      <c r="E333" s="381"/>
      <c r="F333" s="382"/>
      <c r="G333" s="319"/>
      <c r="H333" s="320"/>
      <c r="I333" s="103"/>
      <c r="J333" s="353"/>
      <c r="K333" s="354"/>
      <c r="L333" s="99"/>
      <c r="M333" s="354"/>
      <c r="N333" s="99"/>
      <c r="O333" s="100">
        <f t="shared" si="195"/>
        <v>0</v>
      </c>
      <c r="P333" s="325"/>
      <c r="Q333" s="322"/>
      <c r="R333" s="321"/>
      <c r="S333" s="322"/>
      <c r="T333" s="325"/>
      <c r="U333" s="326"/>
      <c r="V333" s="322"/>
      <c r="W333" s="371"/>
      <c r="X333" s="327"/>
      <c r="Y333" s="125">
        <f t="shared" si="164"/>
        <v>0</v>
      </c>
      <c r="Z333" s="126">
        <f t="shared" si="184"/>
        <v>0</v>
      </c>
      <c r="AA333" s="126">
        <f t="shared" si="165"/>
        <v>0</v>
      </c>
    </row>
    <row r="334" spans="1:27" s="355" customFormat="1" ht="15" customHeight="1">
      <c r="A334" s="170"/>
      <c r="B334" s="171">
        <v>19.2</v>
      </c>
      <c r="C334" s="347"/>
      <c r="D334" s="372" t="s">
        <v>217</v>
      </c>
      <c r="E334" s="373" t="s">
        <v>2</v>
      </c>
      <c r="F334" s="385">
        <v>565330</v>
      </c>
      <c r="G334" s="378"/>
      <c r="H334" s="352"/>
      <c r="I334" s="379">
        <v>16</v>
      </c>
      <c r="J334" s="353">
        <f t="shared" si="163"/>
        <v>9045280</v>
      </c>
      <c r="K334" s="354"/>
      <c r="L334" s="99">
        <f t="shared" si="194"/>
        <v>0</v>
      </c>
      <c r="M334" s="354">
        <v>16</v>
      </c>
      <c r="N334" s="99">
        <f>+M334*F334</f>
        <v>9045280</v>
      </c>
      <c r="O334" s="100">
        <f t="shared" si="195"/>
        <v>0</v>
      </c>
      <c r="P334" s="119">
        <f>+I334-K334-M334</f>
        <v>0</v>
      </c>
      <c r="Q334" s="176">
        <f>+P334*F334</f>
        <v>0</v>
      </c>
      <c r="R334" s="103">
        <f>+I334-K334-M334-P334</f>
        <v>0</v>
      </c>
      <c r="S334" s="104">
        <f>+R334*F334</f>
        <v>0</v>
      </c>
      <c r="T334" s="119">
        <f>+K334+M334+O334</f>
        <v>16</v>
      </c>
      <c r="U334" s="374"/>
      <c r="V334" s="179">
        <f>+T334*F334</f>
        <v>9045280</v>
      </c>
      <c r="W334" s="123">
        <f>+I334-T334</f>
        <v>0</v>
      </c>
      <c r="X334" s="375">
        <f>+W334*F334</f>
        <v>0</v>
      </c>
      <c r="Y334" s="125">
        <f t="shared" si="164"/>
        <v>0</v>
      </c>
      <c r="Z334" s="195">
        <f t="shared" si="184"/>
        <v>0</v>
      </c>
      <c r="AA334" s="126">
        <f t="shared" si="165"/>
        <v>0</v>
      </c>
    </row>
    <row r="335" spans="1:27" s="291" customFormat="1" ht="15" customHeight="1">
      <c r="A335" s="109"/>
      <c r="B335" s="110"/>
      <c r="C335" s="90"/>
      <c r="D335" s="356" t="s">
        <v>31</v>
      </c>
      <c r="E335" s="357"/>
      <c r="F335" s="376"/>
      <c r="G335" s="359"/>
      <c r="H335" s="360"/>
      <c r="I335" s="361"/>
      <c r="J335" s="362">
        <f>SUM(J334)</f>
        <v>9045280</v>
      </c>
      <c r="K335" s="363"/>
      <c r="L335" s="362">
        <f>SUM(L334)</f>
        <v>0</v>
      </c>
      <c r="M335" s="363"/>
      <c r="N335" s="362">
        <f>SUM(N334)</f>
        <v>9045280</v>
      </c>
      <c r="O335" s="100">
        <f t="shared" si="195"/>
        <v>0</v>
      </c>
      <c r="P335" s="364"/>
      <c r="Q335" s="362">
        <f>SUM(Q334)</f>
        <v>0</v>
      </c>
      <c r="R335" s="365"/>
      <c r="S335" s="362">
        <f>SUM(S334)</f>
        <v>0</v>
      </c>
      <c r="T335" s="364"/>
      <c r="U335" s="366"/>
      <c r="V335" s="362">
        <f>SUM(V334)</f>
        <v>9045280</v>
      </c>
      <c r="W335" s="367"/>
      <c r="X335" s="141">
        <f>SUM(X334)</f>
        <v>0</v>
      </c>
      <c r="Y335" s="125">
        <f t="shared" si="164"/>
        <v>0</v>
      </c>
      <c r="Z335" s="126">
        <f t="shared" si="184"/>
        <v>0</v>
      </c>
      <c r="AA335" s="126">
        <f t="shared" si="165"/>
        <v>0</v>
      </c>
    </row>
    <row r="336" spans="1:27" s="355" customFormat="1" ht="15" customHeight="1">
      <c r="A336" s="109">
        <v>24</v>
      </c>
      <c r="B336" s="110"/>
      <c r="C336" s="90"/>
      <c r="D336" s="407" t="s">
        <v>253</v>
      </c>
      <c r="E336" s="396"/>
      <c r="F336" s="382"/>
      <c r="G336" s="378"/>
      <c r="H336" s="352"/>
      <c r="I336" s="379"/>
      <c r="J336" s="353"/>
      <c r="K336" s="354"/>
      <c r="L336" s="99"/>
      <c r="M336" s="354"/>
      <c r="N336" s="99"/>
      <c r="O336" s="100">
        <f t="shared" si="195"/>
        <v>0</v>
      </c>
      <c r="P336" s="397"/>
      <c r="Q336" s="400"/>
      <c r="R336" s="371"/>
      <c r="S336" s="400"/>
      <c r="T336" s="397"/>
      <c r="U336" s="374"/>
      <c r="V336" s="398"/>
      <c r="W336" s="371"/>
      <c r="X336" s="400"/>
      <c r="Y336" s="125">
        <f t="shared" si="164"/>
        <v>0</v>
      </c>
      <c r="Z336" s="126">
        <f t="shared" si="184"/>
        <v>0</v>
      </c>
      <c r="AA336" s="126">
        <f t="shared" si="165"/>
        <v>0</v>
      </c>
    </row>
    <row r="337" spans="1:27" s="355" customFormat="1" ht="15" customHeight="1">
      <c r="A337" s="109"/>
      <c r="B337" s="110">
        <v>19.2</v>
      </c>
      <c r="C337" s="90"/>
      <c r="D337" s="402" t="s">
        <v>217</v>
      </c>
      <c r="E337" s="373" t="s">
        <v>2</v>
      </c>
      <c r="F337" s="385">
        <v>565330</v>
      </c>
      <c r="G337" s="378"/>
      <c r="H337" s="352"/>
      <c r="I337" s="379">
        <v>12</v>
      </c>
      <c r="J337" s="353">
        <f aca="true" t="shared" si="196" ref="J337:J375">+I337*F337</f>
        <v>6783960</v>
      </c>
      <c r="K337" s="354"/>
      <c r="L337" s="99">
        <f t="shared" si="194"/>
        <v>0</v>
      </c>
      <c r="M337" s="354">
        <v>12</v>
      </c>
      <c r="N337" s="99">
        <f aca="true" t="shared" si="197" ref="N337:N358">+M337*F337</f>
        <v>6783960</v>
      </c>
      <c r="O337" s="100">
        <f t="shared" si="195"/>
        <v>0</v>
      </c>
      <c r="P337" s="119">
        <f aca="true" t="shared" si="198" ref="P337:P358">+I337-K337-M337</f>
        <v>0</v>
      </c>
      <c r="Q337" s="99">
        <f aca="true" t="shared" si="199" ref="Q337:Q358">+P337*F337</f>
        <v>0</v>
      </c>
      <c r="R337" s="103">
        <f aca="true" t="shared" si="200" ref="R337:R358">+I337-K337-M337-P337</f>
        <v>0</v>
      </c>
      <c r="S337" s="104">
        <f aca="true" t="shared" si="201" ref="S337:S358">+R337*F337</f>
        <v>0</v>
      </c>
      <c r="T337" s="119">
        <f aca="true" t="shared" si="202" ref="T337:T358">+K337+M337+O337+R337</f>
        <v>12</v>
      </c>
      <c r="U337" s="374"/>
      <c r="V337" s="122">
        <f aca="true" t="shared" si="203" ref="V337:V358">+T337*F337</f>
        <v>6783960</v>
      </c>
      <c r="W337" s="123">
        <f aca="true" t="shared" si="204" ref="W337:W358">+I337-T337</f>
        <v>0</v>
      </c>
      <c r="X337" s="375">
        <f aca="true" t="shared" si="205" ref="X337:X358">+W337*F337</f>
        <v>0</v>
      </c>
      <c r="Y337" s="125">
        <f t="shared" si="164"/>
        <v>0</v>
      </c>
      <c r="Z337" s="126">
        <f t="shared" si="184"/>
        <v>0</v>
      </c>
      <c r="AA337" s="126">
        <f t="shared" si="165"/>
        <v>0</v>
      </c>
    </row>
    <row r="338" spans="1:27" s="355" customFormat="1" ht="15" customHeight="1">
      <c r="A338" s="170"/>
      <c r="B338" s="171"/>
      <c r="C338" s="347"/>
      <c r="D338" s="402" t="s">
        <v>354</v>
      </c>
      <c r="E338" s="373" t="s">
        <v>2</v>
      </c>
      <c r="F338" s="385">
        <v>358004</v>
      </c>
      <c r="G338" s="378"/>
      <c r="H338" s="352"/>
      <c r="I338" s="379">
        <v>45</v>
      </c>
      <c r="J338" s="353">
        <f t="shared" si="196"/>
        <v>16110180</v>
      </c>
      <c r="K338" s="354"/>
      <c r="L338" s="99">
        <f t="shared" si="194"/>
        <v>0</v>
      </c>
      <c r="M338" s="354"/>
      <c r="N338" s="99">
        <f t="shared" si="197"/>
        <v>0</v>
      </c>
      <c r="O338" s="100">
        <f t="shared" si="195"/>
        <v>45</v>
      </c>
      <c r="P338" s="119">
        <f t="shared" si="198"/>
        <v>45</v>
      </c>
      <c r="Q338" s="99">
        <f t="shared" si="199"/>
        <v>16110180</v>
      </c>
      <c r="R338" s="103">
        <f t="shared" si="200"/>
        <v>0</v>
      </c>
      <c r="S338" s="104">
        <f t="shared" si="201"/>
        <v>0</v>
      </c>
      <c r="T338" s="119">
        <f t="shared" si="202"/>
        <v>45</v>
      </c>
      <c r="U338" s="374"/>
      <c r="V338" s="179">
        <f t="shared" si="203"/>
        <v>16110180</v>
      </c>
      <c r="W338" s="123">
        <f t="shared" si="204"/>
        <v>0</v>
      </c>
      <c r="X338" s="375">
        <f t="shared" si="205"/>
        <v>0</v>
      </c>
      <c r="Y338" s="125">
        <f t="shared" si="164"/>
        <v>0</v>
      </c>
      <c r="Z338" s="195">
        <f t="shared" si="184"/>
        <v>0</v>
      </c>
      <c r="AA338" s="126">
        <f t="shared" si="165"/>
        <v>16110180</v>
      </c>
    </row>
    <row r="339" spans="1:27" s="346" customFormat="1" ht="21.75" customHeight="1">
      <c r="A339" s="328"/>
      <c r="B339" s="329"/>
      <c r="C339" s="90"/>
      <c r="D339" s="403" t="s">
        <v>355</v>
      </c>
      <c r="E339" s="369" t="s">
        <v>2</v>
      </c>
      <c r="F339" s="408">
        <v>350000</v>
      </c>
      <c r="G339" s="405"/>
      <c r="H339" s="333"/>
      <c r="I339" s="388">
        <v>0</v>
      </c>
      <c r="J339" s="335">
        <f t="shared" si="196"/>
        <v>0</v>
      </c>
      <c r="K339" s="336"/>
      <c r="L339" s="338">
        <f t="shared" si="194"/>
        <v>0</v>
      </c>
      <c r="M339" s="336"/>
      <c r="N339" s="338">
        <f t="shared" si="197"/>
        <v>0</v>
      </c>
      <c r="O339" s="339">
        <f t="shared" si="195"/>
        <v>0</v>
      </c>
      <c r="P339" s="340">
        <f t="shared" si="198"/>
        <v>0</v>
      </c>
      <c r="Q339" s="338">
        <f t="shared" si="199"/>
        <v>0</v>
      </c>
      <c r="R339" s="334">
        <f t="shared" si="200"/>
        <v>0</v>
      </c>
      <c r="S339" s="337">
        <f t="shared" si="201"/>
        <v>0</v>
      </c>
      <c r="T339" s="340">
        <f t="shared" si="202"/>
        <v>0</v>
      </c>
      <c r="U339" s="389"/>
      <c r="V339" s="342">
        <f t="shared" si="203"/>
        <v>0</v>
      </c>
      <c r="W339" s="343">
        <f t="shared" si="204"/>
        <v>0</v>
      </c>
      <c r="X339" s="390">
        <f t="shared" si="205"/>
        <v>0</v>
      </c>
      <c r="Y339" s="125">
        <f aca="true" t="shared" si="206" ref="Y339:Y402">+J339-V339</f>
        <v>0</v>
      </c>
      <c r="Z339" s="345">
        <f t="shared" si="184"/>
        <v>0</v>
      </c>
      <c r="AA339" s="345">
        <f aca="true" t="shared" si="207" ref="AA339:AA395">+Q339</f>
        <v>0</v>
      </c>
    </row>
    <row r="340" spans="1:27" s="355" customFormat="1" ht="15" customHeight="1">
      <c r="A340" s="170"/>
      <c r="B340" s="171"/>
      <c r="C340" s="347"/>
      <c r="D340" s="402" t="s">
        <v>356</v>
      </c>
      <c r="E340" s="373" t="s">
        <v>2</v>
      </c>
      <c r="F340" s="385">
        <v>685000</v>
      </c>
      <c r="G340" s="378"/>
      <c r="H340" s="352"/>
      <c r="I340" s="379">
        <v>2</v>
      </c>
      <c r="J340" s="353">
        <f t="shared" si="196"/>
        <v>1370000</v>
      </c>
      <c r="K340" s="354"/>
      <c r="L340" s="99">
        <f t="shared" si="194"/>
        <v>0</v>
      </c>
      <c r="M340" s="354"/>
      <c r="N340" s="99">
        <f t="shared" si="197"/>
        <v>0</v>
      </c>
      <c r="O340" s="100">
        <f t="shared" si="195"/>
        <v>2</v>
      </c>
      <c r="P340" s="119">
        <f t="shared" si="198"/>
        <v>2</v>
      </c>
      <c r="Q340" s="99">
        <f t="shared" si="199"/>
        <v>1370000</v>
      </c>
      <c r="R340" s="103">
        <f t="shared" si="200"/>
        <v>0</v>
      </c>
      <c r="S340" s="104">
        <f t="shared" si="201"/>
        <v>0</v>
      </c>
      <c r="T340" s="119">
        <f t="shared" si="202"/>
        <v>2</v>
      </c>
      <c r="U340" s="374"/>
      <c r="V340" s="179">
        <f t="shared" si="203"/>
        <v>1370000</v>
      </c>
      <c r="W340" s="123">
        <f t="shared" si="204"/>
        <v>0</v>
      </c>
      <c r="X340" s="375">
        <f t="shared" si="205"/>
        <v>0</v>
      </c>
      <c r="Y340" s="125">
        <f t="shared" si="206"/>
        <v>0</v>
      </c>
      <c r="Z340" s="195">
        <f t="shared" si="184"/>
        <v>0</v>
      </c>
      <c r="AA340" s="126">
        <f t="shared" si="207"/>
        <v>1370000</v>
      </c>
    </row>
    <row r="341" spans="1:27" s="355" customFormat="1" ht="15" customHeight="1">
      <c r="A341" s="170"/>
      <c r="B341" s="171"/>
      <c r="C341" s="347"/>
      <c r="D341" s="402" t="s">
        <v>357</v>
      </c>
      <c r="E341" s="373" t="s">
        <v>358</v>
      </c>
      <c r="F341" s="385">
        <v>370000</v>
      </c>
      <c r="G341" s="378"/>
      <c r="H341" s="352"/>
      <c r="I341" s="379">
        <v>37.5</v>
      </c>
      <c r="J341" s="353">
        <f t="shared" si="196"/>
        <v>13875000</v>
      </c>
      <c r="K341" s="354"/>
      <c r="L341" s="99">
        <f t="shared" si="194"/>
        <v>0</v>
      </c>
      <c r="M341" s="354">
        <v>42.46</v>
      </c>
      <c r="N341" s="99">
        <f t="shared" si="197"/>
        <v>15710200</v>
      </c>
      <c r="O341" s="100">
        <f t="shared" si="195"/>
        <v>-4.960000000000001</v>
      </c>
      <c r="P341" s="119">
        <f t="shared" si="198"/>
        <v>-4.960000000000001</v>
      </c>
      <c r="Q341" s="99">
        <f t="shared" si="199"/>
        <v>-1835200.0000000002</v>
      </c>
      <c r="R341" s="103">
        <f t="shared" si="200"/>
        <v>0</v>
      </c>
      <c r="S341" s="104">
        <f t="shared" si="201"/>
        <v>0</v>
      </c>
      <c r="T341" s="119">
        <f t="shared" si="202"/>
        <v>37.5</v>
      </c>
      <c r="U341" s="374"/>
      <c r="V341" s="179">
        <f t="shared" si="203"/>
        <v>13875000</v>
      </c>
      <c r="W341" s="123">
        <f t="shared" si="204"/>
        <v>0</v>
      </c>
      <c r="X341" s="375">
        <f t="shared" si="205"/>
        <v>0</v>
      </c>
      <c r="Y341" s="125">
        <f t="shared" si="206"/>
        <v>0</v>
      </c>
      <c r="Z341" s="195">
        <f t="shared" si="184"/>
        <v>0</v>
      </c>
      <c r="AA341" s="126">
        <f t="shared" si="207"/>
        <v>-1835200.0000000002</v>
      </c>
    </row>
    <row r="342" spans="1:27" s="355" customFormat="1" ht="15" customHeight="1">
      <c r="A342" s="109"/>
      <c r="B342" s="110"/>
      <c r="C342" s="90"/>
      <c r="D342" s="402" t="s">
        <v>359</v>
      </c>
      <c r="E342" s="373" t="s">
        <v>358</v>
      </c>
      <c r="F342" s="385">
        <v>350000</v>
      </c>
      <c r="G342" s="378"/>
      <c r="H342" s="352"/>
      <c r="I342" s="379">
        <v>2</v>
      </c>
      <c r="J342" s="353">
        <f t="shared" si="196"/>
        <v>700000</v>
      </c>
      <c r="K342" s="354"/>
      <c r="L342" s="99">
        <f t="shared" si="194"/>
        <v>0</v>
      </c>
      <c r="M342" s="354"/>
      <c r="N342" s="99">
        <f t="shared" si="197"/>
        <v>0</v>
      </c>
      <c r="O342" s="100">
        <f t="shared" si="195"/>
        <v>2</v>
      </c>
      <c r="P342" s="119">
        <f t="shared" si="198"/>
        <v>2</v>
      </c>
      <c r="Q342" s="99">
        <f t="shared" si="199"/>
        <v>700000</v>
      </c>
      <c r="R342" s="103">
        <f t="shared" si="200"/>
        <v>0</v>
      </c>
      <c r="S342" s="104">
        <f t="shared" si="201"/>
        <v>0</v>
      </c>
      <c r="T342" s="119">
        <f t="shared" si="202"/>
        <v>2</v>
      </c>
      <c r="U342" s="374"/>
      <c r="V342" s="122">
        <f t="shared" si="203"/>
        <v>700000</v>
      </c>
      <c r="W342" s="123">
        <f t="shared" si="204"/>
        <v>0</v>
      </c>
      <c r="X342" s="375">
        <f t="shared" si="205"/>
        <v>0</v>
      </c>
      <c r="Y342" s="125">
        <f t="shared" si="206"/>
        <v>0</v>
      </c>
      <c r="Z342" s="126">
        <f t="shared" si="184"/>
        <v>0</v>
      </c>
      <c r="AA342" s="126">
        <f t="shared" si="207"/>
        <v>700000</v>
      </c>
    </row>
    <row r="343" spans="1:27" s="355" customFormat="1" ht="15" customHeight="1">
      <c r="A343" s="109"/>
      <c r="B343" s="110"/>
      <c r="C343" s="90"/>
      <c r="D343" s="402" t="s">
        <v>208</v>
      </c>
      <c r="E343" s="373" t="s">
        <v>2</v>
      </c>
      <c r="F343" s="385">
        <v>1755709</v>
      </c>
      <c r="G343" s="378"/>
      <c r="H343" s="352"/>
      <c r="I343" s="379">
        <v>4</v>
      </c>
      <c r="J343" s="353">
        <f t="shared" si="196"/>
        <v>7022836</v>
      </c>
      <c r="K343" s="354"/>
      <c r="L343" s="99">
        <f t="shared" si="194"/>
        <v>0</v>
      </c>
      <c r="M343" s="354">
        <v>3</v>
      </c>
      <c r="N343" s="99">
        <f t="shared" si="197"/>
        <v>5267127</v>
      </c>
      <c r="O343" s="100">
        <f t="shared" si="195"/>
        <v>1</v>
      </c>
      <c r="P343" s="119">
        <f t="shared" si="198"/>
        <v>1</v>
      </c>
      <c r="Q343" s="99">
        <f t="shared" si="199"/>
        <v>1755709</v>
      </c>
      <c r="R343" s="103">
        <f t="shared" si="200"/>
        <v>0</v>
      </c>
      <c r="S343" s="104">
        <f t="shared" si="201"/>
        <v>0</v>
      </c>
      <c r="T343" s="119">
        <f t="shared" si="202"/>
        <v>4</v>
      </c>
      <c r="U343" s="374"/>
      <c r="V343" s="122">
        <f t="shared" si="203"/>
        <v>7022836</v>
      </c>
      <c r="W343" s="123">
        <f t="shared" si="204"/>
        <v>0</v>
      </c>
      <c r="X343" s="375">
        <f t="shared" si="205"/>
        <v>0</v>
      </c>
      <c r="Y343" s="125">
        <f t="shared" si="206"/>
        <v>0</v>
      </c>
      <c r="Z343" s="126">
        <f t="shared" si="184"/>
        <v>0</v>
      </c>
      <c r="AA343" s="126">
        <f t="shared" si="207"/>
        <v>1755709</v>
      </c>
    </row>
    <row r="344" spans="1:27" s="355" customFormat="1" ht="15" customHeight="1">
      <c r="A344" s="109"/>
      <c r="B344" s="110"/>
      <c r="C344" s="90"/>
      <c r="D344" s="402" t="s">
        <v>360</v>
      </c>
      <c r="E344" s="373" t="s">
        <v>358</v>
      </c>
      <c r="F344" s="385">
        <v>443000</v>
      </c>
      <c r="G344" s="378"/>
      <c r="H344" s="352"/>
      <c r="I344" s="379">
        <v>180.28</v>
      </c>
      <c r="J344" s="353">
        <f t="shared" si="196"/>
        <v>79864040</v>
      </c>
      <c r="K344" s="354"/>
      <c r="L344" s="99">
        <f t="shared" si="194"/>
        <v>0</v>
      </c>
      <c r="M344" s="354">
        <v>160</v>
      </c>
      <c r="N344" s="99">
        <f t="shared" si="197"/>
        <v>70880000</v>
      </c>
      <c r="O344" s="100">
        <f t="shared" si="195"/>
        <v>20.28</v>
      </c>
      <c r="P344" s="119">
        <f t="shared" si="198"/>
        <v>20.28</v>
      </c>
      <c r="Q344" s="99">
        <f t="shared" si="199"/>
        <v>8984040</v>
      </c>
      <c r="R344" s="103">
        <f t="shared" si="200"/>
        <v>0</v>
      </c>
      <c r="S344" s="104">
        <f t="shared" si="201"/>
        <v>0</v>
      </c>
      <c r="T344" s="119">
        <f t="shared" si="202"/>
        <v>180.28</v>
      </c>
      <c r="U344" s="374"/>
      <c r="V344" s="122">
        <f t="shared" si="203"/>
        <v>79864040</v>
      </c>
      <c r="W344" s="123">
        <f t="shared" si="204"/>
        <v>0</v>
      </c>
      <c r="X344" s="375">
        <f t="shared" si="205"/>
        <v>0</v>
      </c>
      <c r="Y344" s="125">
        <f t="shared" si="206"/>
        <v>0</v>
      </c>
      <c r="Z344" s="126">
        <f t="shared" si="184"/>
        <v>0</v>
      </c>
      <c r="AA344" s="126">
        <f t="shared" si="207"/>
        <v>8984040</v>
      </c>
    </row>
    <row r="345" spans="1:27" s="355" customFormat="1" ht="20.25" customHeight="1" hidden="1">
      <c r="A345" s="109"/>
      <c r="B345" s="110"/>
      <c r="C345" s="90"/>
      <c r="D345" s="402" t="s">
        <v>361</v>
      </c>
      <c r="E345" s="373" t="s">
        <v>2</v>
      </c>
      <c r="F345" s="385">
        <v>492674</v>
      </c>
      <c r="G345" s="378"/>
      <c r="H345" s="352"/>
      <c r="I345" s="379">
        <v>0</v>
      </c>
      <c r="J345" s="353">
        <f t="shared" si="196"/>
        <v>0</v>
      </c>
      <c r="K345" s="354"/>
      <c r="L345" s="99">
        <f t="shared" si="194"/>
        <v>0</v>
      </c>
      <c r="M345" s="354"/>
      <c r="N345" s="99">
        <f t="shared" si="197"/>
        <v>0</v>
      </c>
      <c r="O345" s="100">
        <f t="shared" si="195"/>
        <v>0</v>
      </c>
      <c r="P345" s="119">
        <f t="shared" si="198"/>
        <v>0</v>
      </c>
      <c r="Q345" s="99">
        <f t="shared" si="199"/>
        <v>0</v>
      </c>
      <c r="R345" s="103">
        <f t="shared" si="200"/>
        <v>0</v>
      </c>
      <c r="S345" s="104">
        <f t="shared" si="201"/>
        <v>0</v>
      </c>
      <c r="T345" s="119">
        <f t="shared" si="202"/>
        <v>0</v>
      </c>
      <c r="U345" s="374"/>
      <c r="V345" s="122">
        <f t="shared" si="203"/>
        <v>0</v>
      </c>
      <c r="W345" s="123">
        <f t="shared" si="204"/>
        <v>0</v>
      </c>
      <c r="X345" s="375">
        <f t="shared" si="205"/>
        <v>0</v>
      </c>
      <c r="Y345" s="125">
        <f t="shared" si="206"/>
        <v>0</v>
      </c>
      <c r="Z345" s="126">
        <f t="shared" si="184"/>
        <v>0</v>
      </c>
      <c r="AA345" s="126">
        <f t="shared" si="207"/>
        <v>0</v>
      </c>
    </row>
    <row r="346" spans="1:27" s="355" customFormat="1" ht="30" customHeight="1">
      <c r="A346" s="170"/>
      <c r="B346" s="171"/>
      <c r="C346" s="347"/>
      <c r="D346" s="402" t="s">
        <v>362</v>
      </c>
      <c r="E346" s="373" t="s">
        <v>2</v>
      </c>
      <c r="F346" s="385">
        <v>4800000</v>
      </c>
      <c r="G346" s="378"/>
      <c r="H346" s="352"/>
      <c r="I346" s="379">
        <v>3</v>
      </c>
      <c r="J346" s="353">
        <f t="shared" si="196"/>
        <v>14400000</v>
      </c>
      <c r="K346" s="354"/>
      <c r="L346" s="176">
        <f t="shared" si="194"/>
        <v>0</v>
      </c>
      <c r="M346" s="354"/>
      <c r="N346" s="176">
        <f t="shared" si="197"/>
        <v>0</v>
      </c>
      <c r="O346" s="192">
        <f t="shared" si="195"/>
        <v>3</v>
      </c>
      <c r="P346" s="193">
        <f t="shared" si="198"/>
        <v>3</v>
      </c>
      <c r="Q346" s="176">
        <f t="shared" si="199"/>
        <v>14400000</v>
      </c>
      <c r="R346" s="190">
        <f t="shared" si="200"/>
        <v>0</v>
      </c>
      <c r="S346" s="194">
        <f t="shared" si="201"/>
        <v>0</v>
      </c>
      <c r="T346" s="193">
        <f t="shared" si="202"/>
        <v>3</v>
      </c>
      <c r="U346" s="374"/>
      <c r="V346" s="179">
        <f t="shared" si="203"/>
        <v>14400000</v>
      </c>
      <c r="W346" s="123">
        <f t="shared" si="204"/>
        <v>0</v>
      </c>
      <c r="X346" s="375">
        <f t="shared" si="205"/>
        <v>0</v>
      </c>
      <c r="Y346" s="125">
        <f t="shared" si="206"/>
        <v>0</v>
      </c>
      <c r="Z346" s="195">
        <f t="shared" si="184"/>
        <v>0</v>
      </c>
      <c r="AA346" s="195">
        <f t="shared" si="207"/>
        <v>14400000</v>
      </c>
    </row>
    <row r="347" spans="1:27" s="355" customFormat="1" ht="15" customHeight="1" hidden="1">
      <c r="A347" s="109"/>
      <c r="B347" s="110"/>
      <c r="C347" s="90"/>
      <c r="D347" s="402" t="s">
        <v>363</v>
      </c>
      <c r="E347" s="373" t="s">
        <v>2</v>
      </c>
      <c r="F347" s="385">
        <v>350000</v>
      </c>
      <c r="G347" s="378"/>
      <c r="H347" s="352"/>
      <c r="I347" s="379">
        <v>0</v>
      </c>
      <c r="J347" s="353">
        <f t="shared" si="196"/>
        <v>0</v>
      </c>
      <c r="K347" s="354"/>
      <c r="L347" s="99">
        <f t="shared" si="194"/>
        <v>0</v>
      </c>
      <c r="M347" s="354"/>
      <c r="N347" s="99">
        <f t="shared" si="197"/>
        <v>0</v>
      </c>
      <c r="O347" s="100">
        <f t="shared" si="195"/>
        <v>0</v>
      </c>
      <c r="P347" s="119">
        <f t="shared" si="198"/>
        <v>0</v>
      </c>
      <c r="Q347" s="99">
        <f t="shared" si="199"/>
        <v>0</v>
      </c>
      <c r="R347" s="103">
        <f t="shared" si="200"/>
        <v>0</v>
      </c>
      <c r="S347" s="104">
        <f t="shared" si="201"/>
        <v>0</v>
      </c>
      <c r="T347" s="119">
        <f t="shared" si="202"/>
        <v>0</v>
      </c>
      <c r="U347" s="374"/>
      <c r="V347" s="122">
        <f t="shared" si="203"/>
        <v>0</v>
      </c>
      <c r="W347" s="123">
        <f t="shared" si="204"/>
        <v>0</v>
      </c>
      <c r="X347" s="375">
        <f t="shared" si="205"/>
        <v>0</v>
      </c>
      <c r="Y347" s="125">
        <f t="shared" si="206"/>
        <v>0</v>
      </c>
      <c r="Z347" s="126">
        <f t="shared" si="184"/>
        <v>0</v>
      </c>
      <c r="AA347" s="126">
        <f t="shared" si="207"/>
        <v>0</v>
      </c>
    </row>
    <row r="348" spans="1:27" s="355" customFormat="1" ht="15" customHeight="1">
      <c r="A348" s="109"/>
      <c r="B348" s="110"/>
      <c r="C348" s="90"/>
      <c r="D348" s="402" t="s">
        <v>364</v>
      </c>
      <c r="E348" s="373" t="s">
        <v>358</v>
      </c>
      <c r="F348" s="385">
        <v>335000</v>
      </c>
      <c r="G348" s="378"/>
      <c r="H348" s="352"/>
      <c r="I348" s="379">
        <v>34.53</v>
      </c>
      <c r="J348" s="353">
        <f t="shared" si="196"/>
        <v>11567550</v>
      </c>
      <c r="K348" s="354"/>
      <c r="L348" s="99">
        <f t="shared" si="194"/>
        <v>0</v>
      </c>
      <c r="M348" s="354"/>
      <c r="N348" s="99">
        <f t="shared" si="197"/>
        <v>0</v>
      </c>
      <c r="O348" s="128">
        <v>0</v>
      </c>
      <c r="P348" s="119">
        <v>0</v>
      </c>
      <c r="Q348" s="99">
        <f t="shared" si="199"/>
        <v>0</v>
      </c>
      <c r="R348" s="103">
        <f t="shared" si="200"/>
        <v>34.53</v>
      </c>
      <c r="S348" s="104">
        <f t="shared" si="201"/>
        <v>11567550</v>
      </c>
      <c r="T348" s="119">
        <f t="shared" si="202"/>
        <v>34.53</v>
      </c>
      <c r="U348" s="374"/>
      <c r="V348" s="122">
        <f t="shared" si="203"/>
        <v>11567550</v>
      </c>
      <c r="W348" s="123">
        <f t="shared" si="204"/>
        <v>0</v>
      </c>
      <c r="X348" s="375">
        <f t="shared" si="205"/>
        <v>0</v>
      </c>
      <c r="Y348" s="125">
        <f t="shared" si="206"/>
        <v>0</v>
      </c>
      <c r="Z348" s="126">
        <f t="shared" si="184"/>
        <v>0</v>
      </c>
      <c r="AA348" s="126">
        <f t="shared" si="207"/>
        <v>0</v>
      </c>
    </row>
    <row r="349" spans="1:27" s="355" customFormat="1" ht="21" customHeight="1">
      <c r="A349" s="109"/>
      <c r="B349" s="110"/>
      <c r="C349" s="90"/>
      <c r="D349" s="402" t="s">
        <v>365</v>
      </c>
      <c r="E349" s="373" t="s">
        <v>2</v>
      </c>
      <c r="F349" s="385">
        <v>1200000</v>
      </c>
      <c r="G349" s="378"/>
      <c r="H349" s="352"/>
      <c r="I349" s="379">
        <v>1</v>
      </c>
      <c r="J349" s="353">
        <f t="shared" si="196"/>
        <v>1200000</v>
      </c>
      <c r="K349" s="354"/>
      <c r="L349" s="99">
        <f t="shared" si="194"/>
        <v>0</v>
      </c>
      <c r="M349" s="354"/>
      <c r="N349" s="99">
        <f t="shared" si="197"/>
        <v>0</v>
      </c>
      <c r="O349" s="100">
        <f t="shared" si="195"/>
        <v>1</v>
      </c>
      <c r="P349" s="119">
        <f t="shared" si="198"/>
        <v>1</v>
      </c>
      <c r="Q349" s="99">
        <f t="shared" si="199"/>
        <v>1200000</v>
      </c>
      <c r="R349" s="103">
        <f t="shared" si="200"/>
        <v>0</v>
      </c>
      <c r="S349" s="104">
        <f t="shared" si="201"/>
        <v>0</v>
      </c>
      <c r="T349" s="119">
        <f t="shared" si="202"/>
        <v>1</v>
      </c>
      <c r="U349" s="374"/>
      <c r="V349" s="122">
        <f t="shared" si="203"/>
        <v>1200000</v>
      </c>
      <c r="W349" s="123">
        <f t="shared" si="204"/>
        <v>0</v>
      </c>
      <c r="X349" s="375">
        <f t="shared" si="205"/>
        <v>0</v>
      </c>
      <c r="Y349" s="125">
        <f t="shared" si="206"/>
        <v>0</v>
      </c>
      <c r="Z349" s="126">
        <f t="shared" si="184"/>
        <v>0</v>
      </c>
      <c r="AA349" s="126">
        <f t="shared" si="207"/>
        <v>1200000</v>
      </c>
    </row>
    <row r="350" spans="1:27" s="355" customFormat="1" ht="22.5" customHeight="1">
      <c r="A350" s="109"/>
      <c r="B350" s="110"/>
      <c r="C350" s="90"/>
      <c r="D350" s="402" t="s">
        <v>366</v>
      </c>
      <c r="E350" s="373" t="s">
        <v>2</v>
      </c>
      <c r="F350" s="385">
        <v>3390000</v>
      </c>
      <c r="G350" s="378"/>
      <c r="H350" s="352"/>
      <c r="I350" s="379">
        <v>1</v>
      </c>
      <c r="J350" s="353">
        <f t="shared" si="196"/>
        <v>3390000</v>
      </c>
      <c r="K350" s="354"/>
      <c r="L350" s="99">
        <f t="shared" si="194"/>
        <v>0</v>
      </c>
      <c r="M350" s="354"/>
      <c r="N350" s="99">
        <f t="shared" si="197"/>
        <v>0</v>
      </c>
      <c r="O350" s="100">
        <f t="shared" si="195"/>
        <v>1</v>
      </c>
      <c r="P350" s="119">
        <f t="shared" si="198"/>
        <v>1</v>
      </c>
      <c r="Q350" s="99">
        <f t="shared" si="199"/>
        <v>3390000</v>
      </c>
      <c r="R350" s="103">
        <f t="shared" si="200"/>
        <v>0</v>
      </c>
      <c r="S350" s="104">
        <f t="shared" si="201"/>
        <v>0</v>
      </c>
      <c r="T350" s="119">
        <f t="shared" si="202"/>
        <v>1</v>
      </c>
      <c r="U350" s="374"/>
      <c r="V350" s="122">
        <f t="shared" si="203"/>
        <v>3390000</v>
      </c>
      <c r="W350" s="123">
        <f t="shared" si="204"/>
        <v>0</v>
      </c>
      <c r="X350" s="375">
        <f t="shared" si="205"/>
        <v>0</v>
      </c>
      <c r="Y350" s="125">
        <f t="shared" si="206"/>
        <v>0</v>
      </c>
      <c r="Z350" s="126">
        <f t="shared" si="184"/>
        <v>0</v>
      </c>
      <c r="AA350" s="126">
        <f t="shared" si="207"/>
        <v>3390000</v>
      </c>
    </row>
    <row r="351" spans="1:27" s="355" customFormat="1" ht="15" customHeight="1">
      <c r="A351" s="109"/>
      <c r="B351" s="110"/>
      <c r="C351" s="90"/>
      <c r="D351" s="402" t="s">
        <v>367</v>
      </c>
      <c r="E351" s="373" t="s">
        <v>2</v>
      </c>
      <c r="F351" s="385">
        <v>1507704</v>
      </c>
      <c r="G351" s="378"/>
      <c r="H351" s="352"/>
      <c r="I351" s="379">
        <v>11</v>
      </c>
      <c r="J351" s="353">
        <f t="shared" si="196"/>
        <v>16584744</v>
      </c>
      <c r="K351" s="354"/>
      <c r="L351" s="99">
        <f t="shared" si="194"/>
        <v>0</v>
      </c>
      <c r="M351" s="354"/>
      <c r="N351" s="99">
        <f t="shared" si="197"/>
        <v>0</v>
      </c>
      <c r="O351" s="100">
        <f t="shared" si="195"/>
        <v>11</v>
      </c>
      <c r="P351" s="119">
        <f t="shared" si="198"/>
        <v>11</v>
      </c>
      <c r="Q351" s="99">
        <f t="shared" si="199"/>
        <v>16584744</v>
      </c>
      <c r="R351" s="103">
        <f t="shared" si="200"/>
        <v>0</v>
      </c>
      <c r="S351" s="104">
        <f t="shared" si="201"/>
        <v>0</v>
      </c>
      <c r="T351" s="119">
        <f t="shared" si="202"/>
        <v>11</v>
      </c>
      <c r="U351" s="374"/>
      <c r="V351" s="122">
        <f t="shared" si="203"/>
        <v>16584744</v>
      </c>
      <c r="W351" s="123">
        <f t="shared" si="204"/>
        <v>0</v>
      </c>
      <c r="X351" s="375">
        <f t="shared" si="205"/>
        <v>0</v>
      </c>
      <c r="Y351" s="125">
        <f t="shared" si="206"/>
        <v>0</v>
      </c>
      <c r="Z351" s="126">
        <f t="shared" si="184"/>
        <v>0</v>
      </c>
      <c r="AA351" s="126">
        <f t="shared" si="207"/>
        <v>16584744</v>
      </c>
    </row>
    <row r="352" spans="1:27" s="355" customFormat="1" ht="24" customHeight="1">
      <c r="A352" s="170"/>
      <c r="B352" s="171"/>
      <c r="C352" s="347"/>
      <c r="D352" s="402" t="s">
        <v>368</v>
      </c>
      <c r="E352" s="373" t="s">
        <v>2</v>
      </c>
      <c r="F352" s="385">
        <v>3200000</v>
      </c>
      <c r="G352" s="378"/>
      <c r="H352" s="352"/>
      <c r="I352" s="379">
        <v>2</v>
      </c>
      <c r="J352" s="353">
        <f t="shared" si="196"/>
        <v>6400000</v>
      </c>
      <c r="K352" s="354"/>
      <c r="L352" s="99">
        <f t="shared" si="194"/>
        <v>0</v>
      </c>
      <c r="M352" s="354"/>
      <c r="N352" s="99">
        <f t="shared" si="197"/>
        <v>0</v>
      </c>
      <c r="O352" s="100">
        <f t="shared" si="195"/>
        <v>2</v>
      </c>
      <c r="P352" s="119">
        <f t="shared" si="198"/>
        <v>2</v>
      </c>
      <c r="Q352" s="99">
        <f t="shared" si="199"/>
        <v>6400000</v>
      </c>
      <c r="R352" s="103">
        <f t="shared" si="200"/>
        <v>0</v>
      </c>
      <c r="S352" s="104">
        <f t="shared" si="201"/>
        <v>0</v>
      </c>
      <c r="T352" s="119">
        <f t="shared" si="202"/>
        <v>2</v>
      </c>
      <c r="U352" s="374"/>
      <c r="V352" s="179">
        <f t="shared" si="203"/>
        <v>6400000</v>
      </c>
      <c r="W352" s="123">
        <f t="shared" si="204"/>
        <v>0</v>
      </c>
      <c r="X352" s="375">
        <f t="shared" si="205"/>
        <v>0</v>
      </c>
      <c r="Y352" s="125">
        <f t="shared" si="206"/>
        <v>0</v>
      </c>
      <c r="Z352" s="195">
        <f t="shared" si="184"/>
        <v>0</v>
      </c>
      <c r="AA352" s="126">
        <f t="shared" si="207"/>
        <v>6400000</v>
      </c>
    </row>
    <row r="353" spans="1:27" s="355" customFormat="1" ht="21" customHeight="1">
      <c r="A353" s="170"/>
      <c r="B353" s="171"/>
      <c r="C353" s="347"/>
      <c r="D353" s="402" t="s">
        <v>369</v>
      </c>
      <c r="E353" s="373" t="s">
        <v>2</v>
      </c>
      <c r="F353" s="385">
        <v>4109210</v>
      </c>
      <c r="G353" s="378"/>
      <c r="H353" s="352"/>
      <c r="I353" s="379">
        <v>1</v>
      </c>
      <c r="J353" s="353">
        <f t="shared" si="196"/>
        <v>4109210</v>
      </c>
      <c r="K353" s="354"/>
      <c r="L353" s="99">
        <f t="shared" si="194"/>
        <v>0</v>
      </c>
      <c r="M353" s="354"/>
      <c r="N353" s="99">
        <f t="shared" si="197"/>
        <v>0</v>
      </c>
      <c r="O353" s="100">
        <f t="shared" si="195"/>
        <v>1</v>
      </c>
      <c r="P353" s="119">
        <f t="shared" si="198"/>
        <v>1</v>
      </c>
      <c r="Q353" s="99">
        <f t="shared" si="199"/>
        <v>4109210</v>
      </c>
      <c r="R353" s="103">
        <f t="shared" si="200"/>
        <v>0</v>
      </c>
      <c r="S353" s="104">
        <f t="shared" si="201"/>
        <v>0</v>
      </c>
      <c r="T353" s="119">
        <f t="shared" si="202"/>
        <v>1</v>
      </c>
      <c r="U353" s="374"/>
      <c r="V353" s="179">
        <f t="shared" si="203"/>
        <v>4109210</v>
      </c>
      <c r="W353" s="123">
        <f t="shared" si="204"/>
        <v>0</v>
      </c>
      <c r="X353" s="375">
        <f t="shared" si="205"/>
        <v>0</v>
      </c>
      <c r="Y353" s="125">
        <f t="shared" si="206"/>
        <v>0</v>
      </c>
      <c r="Z353" s="195">
        <f t="shared" si="184"/>
        <v>0</v>
      </c>
      <c r="AA353" s="126">
        <f t="shared" si="207"/>
        <v>4109210</v>
      </c>
    </row>
    <row r="354" spans="1:27" s="355" customFormat="1" ht="15" customHeight="1" hidden="1">
      <c r="A354" s="109"/>
      <c r="B354" s="110"/>
      <c r="C354" s="90"/>
      <c r="D354" s="402" t="s">
        <v>370</v>
      </c>
      <c r="E354" s="373" t="s">
        <v>2</v>
      </c>
      <c r="F354" s="385">
        <v>120000</v>
      </c>
      <c r="G354" s="378"/>
      <c r="H354" s="352"/>
      <c r="I354" s="379">
        <v>0</v>
      </c>
      <c r="J354" s="353">
        <f t="shared" si="196"/>
        <v>0</v>
      </c>
      <c r="K354" s="354"/>
      <c r="L354" s="99">
        <f t="shared" si="194"/>
        <v>0</v>
      </c>
      <c r="M354" s="354"/>
      <c r="N354" s="99">
        <f t="shared" si="197"/>
        <v>0</v>
      </c>
      <c r="O354" s="100">
        <f t="shared" si="195"/>
        <v>0</v>
      </c>
      <c r="P354" s="119">
        <f t="shared" si="198"/>
        <v>0</v>
      </c>
      <c r="Q354" s="99">
        <f t="shared" si="199"/>
        <v>0</v>
      </c>
      <c r="R354" s="103">
        <f t="shared" si="200"/>
        <v>0</v>
      </c>
      <c r="S354" s="104">
        <f t="shared" si="201"/>
        <v>0</v>
      </c>
      <c r="T354" s="119">
        <f t="shared" si="202"/>
        <v>0</v>
      </c>
      <c r="U354" s="374"/>
      <c r="V354" s="122">
        <f t="shared" si="203"/>
        <v>0</v>
      </c>
      <c r="W354" s="123">
        <f t="shared" si="204"/>
        <v>0</v>
      </c>
      <c r="X354" s="375">
        <f t="shared" si="205"/>
        <v>0</v>
      </c>
      <c r="Y354" s="125">
        <f t="shared" si="206"/>
        <v>0</v>
      </c>
      <c r="Z354" s="126">
        <f t="shared" si="184"/>
        <v>0</v>
      </c>
      <c r="AA354" s="126">
        <f t="shared" si="207"/>
        <v>0</v>
      </c>
    </row>
    <row r="355" spans="1:27" s="355" customFormat="1" ht="23.25" customHeight="1">
      <c r="A355" s="170"/>
      <c r="B355" s="171"/>
      <c r="C355" s="347"/>
      <c r="D355" s="402" t="s">
        <v>371</v>
      </c>
      <c r="E355" s="373" t="s">
        <v>2</v>
      </c>
      <c r="F355" s="385">
        <v>3250000</v>
      </c>
      <c r="G355" s="378"/>
      <c r="H355" s="352"/>
      <c r="I355" s="379">
        <v>1</v>
      </c>
      <c r="J355" s="353">
        <f t="shared" si="196"/>
        <v>3250000</v>
      </c>
      <c r="K355" s="354"/>
      <c r="L355" s="99">
        <f t="shared" si="194"/>
        <v>0</v>
      </c>
      <c r="M355" s="354"/>
      <c r="N355" s="99">
        <f t="shared" si="197"/>
        <v>0</v>
      </c>
      <c r="O355" s="100">
        <f t="shared" si="195"/>
        <v>1</v>
      </c>
      <c r="P355" s="119">
        <f t="shared" si="198"/>
        <v>1</v>
      </c>
      <c r="Q355" s="99">
        <f t="shared" si="199"/>
        <v>3250000</v>
      </c>
      <c r="R355" s="103">
        <f t="shared" si="200"/>
        <v>0</v>
      </c>
      <c r="S355" s="104">
        <f t="shared" si="201"/>
        <v>0</v>
      </c>
      <c r="T355" s="119">
        <f t="shared" si="202"/>
        <v>1</v>
      </c>
      <c r="U355" s="374"/>
      <c r="V355" s="179">
        <f t="shared" si="203"/>
        <v>3250000</v>
      </c>
      <c r="W355" s="123">
        <f t="shared" si="204"/>
        <v>0</v>
      </c>
      <c r="X355" s="375">
        <f t="shared" si="205"/>
        <v>0</v>
      </c>
      <c r="Y355" s="125">
        <f t="shared" si="206"/>
        <v>0</v>
      </c>
      <c r="Z355" s="195">
        <f t="shared" si="184"/>
        <v>0</v>
      </c>
      <c r="AA355" s="126">
        <f t="shared" si="207"/>
        <v>3250000</v>
      </c>
    </row>
    <row r="356" spans="1:27" s="355" customFormat="1" ht="18" customHeight="1">
      <c r="A356" s="109"/>
      <c r="B356" s="110"/>
      <c r="C356" s="90"/>
      <c r="D356" s="402" t="s">
        <v>372</v>
      </c>
      <c r="E356" s="373" t="s">
        <v>2</v>
      </c>
      <c r="F356" s="385">
        <v>1250000</v>
      </c>
      <c r="G356" s="378"/>
      <c r="H356" s="352"/>
      <c r="I356" s="379">
        <v>1</v>
      </c>
      <c r="J356" s="353">
        <f t="shared" si="196"/>
        <v>1250000</v>
      </c>
      <c r="K356" s="354"/>
      <c r="L356" s="99">
        <f t="shared" si="194"/>
        <v>0</v>
      </c>
      <c r="M356" s="354"/>
      <c r="N356" s="99">
        <f t="shared" si="197"/>
        <v>0</v>
      </c>
      <c r="O356" s="100">
        <f t="shared" si="195"/>
        <v>1</v>
      </c>
      <c r="P356" s="119">
        <f t="shared" si="198"/>
        <v>1</v>
      </c>
      <c r="Q356" s="99">
        <f t="shared" si="199"/>
        <v>1250000</v>
      </c>
      <c r="R356" s="103">
        <f t="shared" si="200"/>
        <v>0</v>
      </c>
      <c r="S356" s="104">
        <f t="shared" si="201"/>
        <v>0</v>
      </c>
      <c r="T356" s="119">
        <f t="shared" si="202"/>
        <v>1</v>
      </c>
      <c r="U356" s="374"/>
      <c r="V356" s="122">
        <f t="shared" si="203"/>
        <v>1250000</v>
      </c>
      <c r="W356" s="123">
        <f t="shared" si="204"/>
        <v>0</v>
      </c>
      <c r="X356" s="375">
        <f t="shared" si="205"/>
        <v>0</v>
      </c>
      <c r="Y356" s="125">
        <f t="shared" si="206"/>
        <v>0</v>
      </c>
      <c r="Z356" s="126">
        <f t="shared" si="184"/>
        <v>0</v>
      </c>
      <c r="AA356" s="126">
        <f t="shared" si="207"/>
        <v>1250000</v>
      </c>
    </row>
    <row r="357" spans="1:27" s="355" customFormat="1" ht="15.75" customHeight="1">
      <c r="A357" s="109"/>
      <c r="B357" s="110"/>
      <c r="C357" s="90"/>
      <c r="D357" s="402" t="s">
        <v>373</v>
      </c>
      <c r="E357" s="373" t="s">
        <v>2</v>
      </c>
      <c r="F357" s="385">
        <v>380000</v>
      </c>
      <c r="G357" s="378"/>
      <c r="H357" s="352"/>
      <c r="I357" s="379">
        <v>4</v>
      </c>
      <c r="J357" s="353">
        <f t="shared" si="196"/>
        <v>1520000</v>
      </c>
      <c r="K357" s="354"/>
      <c r="L357" s="99">
        <f t="shared" si="194"/>
        <v>0</v>
      </c>
      <c r="M357" s="354"/>
      <c r="N357" s="99">
        <f t="shared" si="197"/>
        <v>0</v>
      </c>
      <c r="O357" s="100">
        <f t="shared" si="195"/>
        <v>4</v>
      </c>
      <c r="P357" s="119">
        <f t="shared" si="198"/>
        <v>4</v>
      </c>
      <c r="Q357" s="99">
        <f t="shared" si="199"/>
        <v>1520000</v>
      </c>
      <c r="R357" s="103">
        <f t="shared" si="200"/>
        <v>0</v>
      </c>
      <c r="S357" s="104">
        <f t="shared" si="201"/>
        <v>0</v>
      </c>
      <c r="T357" s="119">
        <f t="shared" si="202"/>
        <v>4</v>
      </c>
      <c r="U357" s="374"/>
      <c r="V357" s="122">
        <f t="shared" si="203"/>
        <v>1520000</v>
      </c>
      <c r="W357" s="123">
        <f t="shared" si="204"/>
        <v>0</v>
      </c>
      <c r="X357" s="375">
        <f t="shared" si="205"/>
        <v>0</v>
      </c>
      <c r="Y357" s="125">
        <f t="shared" si="206"/>
        <v>0</v>
      </c>
      <c r="Z357" s="126">
        <f t="shared" si="184"/>
        <v>0</v>
      </c>
      <c r="AA357" s="126">
        <f t="shared" si="207"/>
        <v>1520000</v>
      </c>
    </row>
    <row r="358" spans="1:27" s="355" customFormat="1" ht="16.5" customHeight="1">
      <c r="A358" s="109"/>
      <c r="B358" s="110"/>
      <c r="C358" s="90"/>
      <c r="D358" s="402" t="s">
        <v>374</v>
      </c>
      <c r="E358" s="373" t="s">
        <v>2</v>
      </c>
      <c r="F358" s="385">
        <v>326458</v>
      </c>
      <c r="G358" s="378"/>
      <c r="H358" s="352"/>
      <c r="I358" s="379">
        <v>1</v>
      </c>
      <c r="J358" s="353">
        <f t="shared" si="196"/>
        <v>326458</v>
      </c>
      <c r="K358" s="354"/>
      <c r="L358" s="99">
        <f t="shared" si="194"/>
        <v>0</v>
      </c>
      <c r="M358" s="354"/>
      <c r="N358" s="99">
        <f t="shared" si="197"/>
        <v>0</v>
      </c>
      <c r="O358" s="100">
        <f t="shared" si="195"/>
        <v>1</v>
      </c>
      <c r="P358" s="119">
        <f t="shared" si="198"/>
        <v>1</v>
      </c>
      <c r="Q358" s="99">
        <f t="shared" si="199"/>
        <v>326458</v>
      </c>
      <c r="R358" s="103">
        <f t="shared" si="200"/>
        <v>0</v>
      </c>
      <c r="S358" s="104">
        <f t="shared" si="201"/>
        <v>0</v>
      </c>
      <c r="T358" s="119">
        <f t="shared" si="202"/>
        <v>1</v>
      </c>
      <c r="U358" s="374"/>
      <c r="V358" s="122">
        <f t="shared" si="203"/>
        <v>326458</v>
      </c>
      <c r="W358" s="123">
        <f t="shared" si="204"/>
        <v>0</v>
      </c>
      <c r="X358" s="375">
        <f t="shared" si="205"/>
        <v>0</v>
      </c>
      <c r="Y358" s="125">
        <f t="shared" si="206"/>
        <v>0</v>
      </c>
      <c r="Z358" s="126">
        <f t="shared" si="184"/>
        <v>0</v>
      </c>
      <c r="AA358" s="126">
        <f t="shared" si="207"/>
        <v>326458</v>
      </c>
    </row>
    <row r="359" spans="1:27" s="291" customFormat="1" ht="15" customHeight="1">
      <c r="A359" s="109"/>
      <c r="B359" s="110"/>
      <c r="C359" s="90"/>
      <c r="D359" s="356" t="s">
        <v>31</v>
      </c>
      <c r="E359" s="357"/>
      <c r="F359" s="376"/>
      <c r="G359" s="359"/>
      <c r="H359" s="360"/>
      <c r="I359" s="361"/>
      <c r="J359" s="362">
        <f>SUM(J337:J358)</f>
        <v>189723978</v>
      </c>
      <c r="K359" s="363"/>
      <c r="L359" s="362">
        <f>SUM(L337:L358)</f>
        <v>0</v>
      </c>
      <c r="M359" s="363"/>
      <c r="N359" s="362">
        <f>SUM(N337:N358)</f>
        <v>98641287</v>
      </c>
      <c r="O359" s="100">
        <f t="shared" si="195"/>
        <v>0</v>
      </c>
      <c r="P359" s="364"/>
      <c r="Q359" s="362">
        <f>SUM(Q337:Q358)</f>
        <v>79515141</v>
      </c>
      <c r="R359" s="365"/>
      <c r="S359" s="362">
        <f>SUM(S337:S358)</f>
        <v>11567550</v>
      </c>
      <c r="T359" s="364"/>
      <c r="U359" s="366"/>
      <c r="V359" s="362">
        <f>SUM(V337:V358)</f>
        <v>189723978</v>
      </c>
      <c r="W359" s="367"/>
      <c r="X359" s="141">
        <f>SUM(X337:X358)</f>
        <v>0</v>
      </c>
      <c r="Y359" s="125">
        <f t="shared" si="206"/>
        <v>0</v>
      </c>
      <c r="Z359" s="126">
        <f t="shared" si="184"/>
        <v>0</v>
      </c>
      <c r="AA359" s="126"/>
    </row>
    <row r="360" spans="1:27" s="291" customFormat="1" ht="15" customHeight="1">
      <c r="A360" s="109"/>
      <c r="B360" s="110"/>
      <c r="C360" s="90"/>
      <c r="D360" s="407" t="s">
        <v>375</v>
      </c>
      <c r="E360" s="381"/>
      <c r="F360" s="382"/>
      <c r="G360" s="319"/>
      <c r="H360" s="320"/>
      <c r="I360" s="103"/>
      <c r="J360" s="353"/>
      <c r="K360" s="354"/>
      <c r="L360" s="99"/>
      <c r="M360" s="354"/>
      <c r="N360" s="99"/>
      <c r="O360" s="100">
        <f t="shared" si="195"/>
        <v>0</v>
      </c>
      <c r="P360" s="325"/>
      <c r="Q360" s="322"/>
      <c r="R360" s="321"/>
      <c r="S360" s="322"/>
      <c r="T360" s="325"/>
      <c r="U360" s="326"/>
      <c r="V360" s="322"/>
      <c r="W360" s="371"/>
      <c r="X360" s="327"/>
      <c r="Y360" s="125">
        <f t="shared" si="206"/>
        <v>0</v>
      </c>
      <c r="Z360" s="126">
        <f t="shared" si="184"/>
        <v>0</v>
      </c>
      <c r="AA360" s="126">
        <f t="shared" si="207"/>
        <v>0</v>
      </c>
    </row>
    <row r="361" spans="1:27" s="355" customFormat="1" ht="19.5" customHeight="1">
      <c r="A361" s="170"/>
      <c r="B361" s="409"/>
      <c r="C361" s="347"/>
      <c r="D361" s="402" t="s">
        <v>376</v>
      </c>
      <c r="E361" s="384" t="s">
        <v>2</v>
      </c>
      <c r="F361" s="385">
        <v>505000</v>
      </c>
      <c r="G361" s="378"/>
      <c r="H361" s="352"/>
      <c r="I361" s="190">
        <v>5</v>
      </c>
      <c r="J361" s="353">
        <f t="shared" si="196"/>
        <v>2525000</v>
      </c>
      <c r="K361" s="354"/>
      <c r="L361" s="99">
        <f t="shared" si="194"/>
        <v>0</v>
      </c>
      <c r="M361" s="354"/>
      <c r="N361" s="99">
        <f>+M361*F361</f>
        <v>0</v>
      </c>
      <c r="O361" s="100">
        <f t="shared" si="195"/>
        <v>5</v>
      </c>
      <c r="P361" s="119">
        <f>+I361-K361-M361</f>
        <v>5</v>
      </c>
      <c r="Q361" s="176">
        <f>+P361*F361</f>
        <v>2525000</v>
      </c>
      <c r="R361" s="103">
        <f>+I361-K361-M361-P361</f>
        <v>0</v>
      </c>
      <c r="S361" s="104">
        <f>+R361*F361</f>
        <v>0</v>
      </c>
      <c r="T361" s="119">
        <f>+K361+M361+O361+R361</f>
        <v>5</v>
      </c>
      <c r="U361" s="374"/>
      <c r="V361" s="179">
        <f>+T361*F361</f>
        <v>2525000</v>
      </c>
      <c r="W361" s="123">
        <f>+I361-T361</f>
        <v>0</v>
      </c>
      <c r="X361" s="375">
        <f>+W361*F361</f>
        <v>0</v>
      </c>
      <c r="Y361" s="125">
        <f t="shared" si="206"/>
        <v>0</v>
      </c>
      <c r="Z361" s="195">
        <f t="shared" si="184"/>
        <v>0</v>
      </c>
      <c r="AA361" s="126">
        <f t="shared" si="207"/>
        <v>2525000</v>
      </c>
    </row>
    <row r="362" spans="1:27" s="355" customFormat="1" ht="15" customHeight="1">
      <c r="A362" s="109"/>
      <c r="B362" s="110">
        <v>24.4</v>
      </c>
      <c r="C362" s="90"/>
      <c r="D362" s="372" t="s">
        <v>28</v>
      </c>
      <c r="E362" s="384" t="s">
        <v>2</v>
      </c>
      <c r="F362" s="385">
        <v>281670</v>
      </c>
      <c r="G362" s="378"/>
      <c r="H362" s="352"/>
      <c r="I362" s="103">
        <v>5</v>
      </c>
      <c r="J362" s="353">
        <f t="shared" si="196"/>
        <v>1408350</v>
      </c>
      <c r="K362" s="354"/>
      <c r="L362" s="99">
        <f t="shared" si="194"/>
        <v>0</v>
      </c>
      <c r="M362" s="354">
        <v>5</v>
      </c>
      <c r="N362" s="99">
        <f>+M362*F362</f>
        <v>1408350</v>
      </c>
      <c r="O362" s="100">
        <f t="shared" si="195"/>
        <v>0</v>
      </c>
      <c r="P362" s="119">
        <f>+I362-K362-M362</f>
        <v>0</v>
      </c>
      <c r="Q362" s="176">
        <f>+P362*F362</f>
        <v>0</v>
      </c>
      <c r="R362" s="103">
        <f>+I362-K362-M362-P362</f>
        <v>0</v>
      </c>
      <c r="S362" s="104">
        <f>+R362*F362</f>
        <v>0</v>
      </c>
      <c r="T362" s="119">
        <f>+K362+M362+O362+R362</f>
        <v>5</v>
      </c>
      <c r="U362" s="374"/>
      <c r="V362" s="122">
        <f>+T362*F362</f>
        <v>1408350</v>
      </c>
      <c r="W362" s="123">
        <f>+I362-T362</f>
        <v>0</v>
      </c>
      <c r="X362" s="375">
        <f>+W362*F362</f>
        <v>0</v>
      </c>
      <c r="Y362" s="125">
        <f t="shared" si="206"/>
        <v>0</v>
      </c>
      <c r="Z362" s="126">
        <f t="shared" si="184"/>
        <v>0</v>
      </c>
      <c r="AA362" s="126">
        <f t="shared" si="207"/>
        <v>0</v>
      </c>
    </row>
    <row r="363" spans="1:27" s="355" customFormat="1" ht="15" customHeight="1">
      <c r="A363" s="109"/>
      <c r="B363" s="110">
        <v>24.5</v>
      </c>
      <c r="C363" s="90"/>
      <c r="D363" s="383" t="s">
        <v>94</v>
      </c>
      <c r="E363" s="384" t="s">
        <v>2</v>
      </c>
      <c r="F363" s="385">
        <v>211004</v>
      </c>
      <c r="G363" s="378"/>
      <c r="H363" s="352"/>
      <c r="I363" s="103">
        <v>6</v>
      </c>
      <c r="J363" s="353">
        <f t="shared" si="196"/>
        <v>1266024</v>
      </c>
      <c r="K363" s="354"/>
      <c r="L363" s="99">
        <f t="shared" si="194"/>
        <v>0</v>
      </c>
      <c r="M363" s="354"/>
      <c r="N363" s="99">
        <f>+M363*F363</f>
        <v>0</v>
      </c>
      <c r="O363" s="100">
        <f t="shared" si="195"/>
        <v>6</v>
      </c>
      <c r="P363" s="119">
        <f>+I363-K363-M363</f>
        <v>6</v>
      </c>
      <c r="Q363" s="176">
        <f>+P363*F363</f>
        <v>1266024</v>
      </c>
      <c r="R363" s="103">
        <f>+I363-K363-M363-P363</f>
        <v>0</v>
      </c>
      <c r="S363" s="104">
        <f>+R363*F363</f>
        <v>0</v>
      </c>
      <c r="T363" s="119">
        <f>+K363+M363+O363+R363</f>
        <v>6</v>
      </c>
      <c r="U363" s="374"/>
      <c r="V363" s="122">
        <f>+T363*F363</f>
        <v>1266024</v>
      </c>
      <c r="W363" s="123">
        <f>+I363-T363</f>
        <v>0</v>
      </c>
      <c r="X363" s="375">
        <f>+W363*F363</f>
        <v>0</v>
      </c>
      <c r="Y363" s="125">
        <f t="shared" si="206"/>
        <v>0</v>
      </c>
      <c r="Z363" s="126">
        <f t="shared" si="184"/>
        <v>0</v>
      </c>
      <c r="AA363" s="126">
        <f t="shared" si="207"/>
        <v>1266024</v>
      </c>
    </row>
    <row r="364" spans="1:27" s="355" customFormat="1" ht="15" customHeight="1">
      <c r="A364" s="109"/>
      <c r="B364" s="110"/>
      <c r="C364" s="391" t="s">
        <v>352</v>
      </c>
      <c r="D364" s="394" t="s">
        <v>377</v>
      </c>
      <c r="E364" s="373" t="s">
        <v>20</v>
      </c>
      <c r="F364" s="385">
        <v>378230</v>
      </c>
      <c r="G364" s="378"/>
      <c r="H364" s="352"/>
      <c r="I364" s="379">
        <v>3.5</v>
      </c>
      <c r="J364" s="353">
        <f t="shared" si="196"/>
        <v>1323805</v>
      </c>
      <c r="K364" s="354"/>
      <c r="L364" s="99">
        <f t="shared" si="194"/>
        <v>0</v>
      </c>
      <c r="M364" s="354">
        <v>3.24</v>
      </c>
      <c r="N364" s="99">
        <f>+M364*F364</f>
        <v>1225465.2000000002</v>
      </c>
      <c r="O364" s="100">
        <f t="shared" si="195"/>
        <v>0.2599999999999998</v>
      </c>
      <c r="P364" s="119">
        <f>+I364-K364-M364</f>
        <v>0.2599999999999998</v>
      </c>
      <c r="Q364" s="176">
        <f>+P364*F364</f>
        <v>98339.79999999992</v>
      </c>
      <c r="R364" s="103">
        <f>+I364-K364-M364-P364</f>
        <v>0</v>
      </c>
      <c r="S364" s="104">
        <f>+R364*F364</f>
        <v>0</v>
      </c>
      <c r="T364" s="119">
        <f>+K364+M364+O364+R364</f>
        <v>3.5</v>
      </c>
      <c r="U364" s="374"/>
      <c r="V364" s="122">
        <f>+T364*F364</f>
        <v>1323805</v>
      </c>
      <c r="W364" s="123">
        <f>+I364-T364</f>
        <v>0</v>
      </c>
      <c r="X364" s="375">
        <f>+W364*F364</f>
        <v>0</v>
      </c>
      <c r="Y364" s="125">
        <f t="shared" si="206"/>
        <v>0</v>
      </c>
      <c r="Z364" s="126">
        <f t="shared" si="184"/>
        <v>0</v>
      </c>
      <c r="AA364" s="126">
        <f t="shared" si="207"/>
        <v>98339.79999999992</v>
      </c>
    </row>
    <row r="365" spans="1:27" s="291" customFormat="1" ht="15" customHeight="1">
      <c r="A365" s="109"/>
      <c r="B365" s="110"/>
      <c r="C365" s="410"/>
      <c r="D365" s="411" t="s">
        <v>31</v>
      </c>
      <c r="E365" s="357"/>
      <c r="F365" s="376"/>
      <c r="G365" s="359"/>
      <c r="H365" s="360"/>
      <c r="I365" s="361"/>
      <c r="J365" s="362">
        <f>SUM(J361:J364)</f>
        <v>6523179</v>
      </c>
      <c r="K365" s="363"/>
      <c r="L365" s="362">
        <f>SUM(L361:L364)</f>
        <v>0</v>
      </c>
      <c r="M365" s="363"/>
      <c r="N365" s="362">
        <f>SUM(N361:N364)</f>
        <v>2633815.2</v>
      </c>
      <c r="O365" s="100">
        <f t="shared" si="195"/>
        <v>0</v>
      </c>
      <c r="P365" s="364"/>
      <c r="Q365" s="362">
        <f>SUM(Q361:Q364)</f>
        <v>3889363.8</v>
      </c>
      <c r="R365" s="365"/>
      <c r="S365" s="362">
        <f>SUM(S361:S364)</f>
        <v>0</v>
      </c>
      <c r="T365" s="364"/>
      <c r="U365" s="366"/>
      <c r="V365" s="362">
        <f>SUM(V361:V364)</f>
        <v>6523179</v>
      </c>
      <c r="W365" s="367"/>
      <c r="X365" s="141">
        <f>SUM(X361:X364)</f>
        <v>0</v>
      </c>
      <c r="Y365" s="125">
        <f t="shared" si="206"/>
        <v>0</v>
      </c>
      <c r="Z365" s="126">
        <f t="shared" si="184"/>
        <v>0</v>
      </c>
      <c r="AA365" s="126"/>
    </row>
    <row r="366" spans="1:27" s="291" customFormat="1" ht="15" customHeight="1">
      <c r="A366" s="109"/>
      <c r="B366" s="110"/>
      <c r="C366" s="410"/>
      <c r="D366" s="412" t="s">
        <v>378</v>
      </c>
      <c r="E366" s="393"/>
      <c r="F366" s="382"/>
      <c r="G366" s="319"/>
      <c r="H366" s="320"/>
      <c r="I366" s="103"/>
      <c r="J366" s="353"/>
      <c r="K366" s="354"/>
      <c r="L366" s="99"/>
      <c r="M366" s="354"/>
      <c r="N366" s="99"/>
      <c r="O366" s="100">
        <f t="shared" si="195"/>
        <v>0</v>
      </c>
      <c r="P366" s="325"/>
      <c r="Q366" s="322"/>
      <c r="R366" s="321"/>
      <c r="S366" s="322"/>
      <c r="T366" s="325"/>
      <c r="U366" s="326"/>
      <c r="V366" s="322"/>
      <c r="W366" s="371"/>
      <c r="X366" s="327"/>
      <c r="Y366" s="125">
        <f t="shared" si="206"/>
        <v>0</v>
      </c>
      <c r="Z366" s="126">
        <f t="shared" si="184"/>
        <v>0</v>
      </c>
      <c r="AA366" s="126">
        <f t="shared" si="207"/>
        <v>0</v>
      </c>
    </row>
    <row r="367" spans="1:27" s="355" customFormat="1" ht="15" customHeight="1">
      <c r="A367" s="170"/>
      <c r="B367" s="171"/>
      <c r="C367" s="413"/>
      <c r="D367" s="414" t="s">
        <v>379</v>
      </c>
      <c r="E367" s="373" t="s">
        <v>2</v>
      </c>
      <c r="F367" s="385">
        <v>280000</v>
      </c>
      <c r="G367" s="378"/>
      <c r="H367" s="352"/>
      <c r="I367" s="379">
        <v>4</v>
      </c>
      <c r="J367" s="353">
        <f t="shared" si="196"/>
        <v>1120000</v>
      </c>
      <c r="K367" s="354"/>
      <c r="L367" s="99">
        <f t="shared" si="194"/>
        <v>0</v>
      </c>
      <c r="M367" s="354"/>
      <c r="N367" s="99">
        <f>+M367*F367</f>
        <v>0</v>
      </c>
      <c r="O367" s="100">
        <f t="shared" si="195"/>
        <v>4</v>
      </c>
      <c r="P367" s="119">
        <f>+I367-K367-M367</f>
        <v>4</v>
      </c>
      <c r="Q367" s="176">
        <f>+P367*F367</f>
        <v>1120000</v>
      </c>
      <c r="R367" s="103">
        <f>+I367-K367-M367-P367</f>
        <v>0</v>
      </c>
      <c r="S367" s="104">
        <f>+R367*F367</f>
        <v>0</v>
      </c>
      <c r="T367" s="119">
        <f>+K367+M367+O367+R367</f>
        <v>4</v>
      </c>
      <c r="U367" s="374"/>
      <c r="V367" s="179">
        <f>+T367*F367</f>
        <v>1120000</v>
      </c>
      <c r="W367" s="123">
        <f>+I367-T367</f>
        <v>0</v>
      </c>
      <c r="X367" s="375">
        <f>+W367*F367</f>
        <v>0</v>
      </c>
      <c r="Y367" s="125">
        <f t="shared" si="206"/>
        <v>0</v>
      </c>
      <c r="Z367" s="195">
        <f t="shared" si="184"/>
        <v>0</v>
      </c>
      <c r="AA367" s="126">
        <f t="shared" si="207"/>
        <v>1120000</v>
      </c>
    </row>
    <row r="368" spans="1:27" s="355" customFormat="1" ht="15" customHeight="1">
      <c r="A368" s="109"/>
      <c r="B368" s="110"/>
      <c r="C368" s="90"/>
      <c r="D368" s="394" t="s">
        <v>380</v>
      </c>
      <c r="E368" s="373" t="s">
        <v>2</v>
      </c>
      <c r="F368" s="385">
        <v>612611</v>
      </c>
      <c r="G368" s="378"/>
      <c r="H368" s="352"/>
      <c r="I368" s="379">
        <v>1</v>
      </c>
      <c r="J368" s="353">
        <f t="shared" si="196"/>
        <v>612611</v>
      </c>
      <c r="K368" s="354"/>
      <c r="L368" s="99">
        <f t="shared" si="194"/>
        <v>0</v>
      </c>
      <c r="M368" s="354"/>
      <c r="N368" s="99">
        <f>+M368*F368</f>
        <v>0</v>
      </c>
      <c r="O368" s="100">
        <f t="shared" si="195"/>
        <v>1</v>
      </c>
      <c r="P368" s="119">
        <f>+I368-K368-M368</f>
        <v>1</v>
      </c>
      <c r="Q368" s="176">
        <f>+P368*F368</f>
        <v>612611</v>
      </c>
      <c r="R368" s="103">
        <f>+I368-K368-M368-P368</f>
        <v>0</v>
      </c>
      <c r="S368" s="104">
        <f>+R368*F368</f>
        <v>0</v>
      </c>
      <c r="T368" s="119">
        <f>+K368+M368+O368+R368</f>
        <v>1</v>
      </c>
      <c r="U368" s="374"/>
      <c r="V368" s="179">
        <f>+T368*F368</f>
        <v>612611</v>
      </c>
      <c r="W368" s="123">
        <f>+I368-T368</f>
        <v>0</v>
      </c>
      <c r="X368" s="375">
        <f>+W368*F368</f>
        <v>0</v>
      </c>
      <c r="Y368" s="125">
        <f t="shared" si="206"/>
        <v>0</v>
      </c>
      <c r="Z368" s="126">
        <f t="shared" si="184"/>
        <v>0</v>
      </c>
      <c r="AA368" s="126">
        <f t="shared" si="207"/>
        <v>612611</v>
      </c>
    </row>
    <row r="369" spans="1:27" s="355" customFormat="1" ht="15.75" customHeight="1">
      <c r="A369" s="109"/>
      <c r="B369" s="110"/>
      <c r="C369" s="90"/>
      <c r="D369" s="394" t="s">
        <v>381</v>
      </c>
      <c r="E369" s="373" t="s">
        <v>20</v>
      </c>
      <c r="F369" s="385">
        <v>405087</v>
      </c>
      <c r="G369" s="378"/>
      <c r="H369" s="352"/>
      <c r="I369" s="379">
        <v>4.15</v>
      </c>
      <c r="J369" s="353">
        <f t="shared" si="196"/>
        <v>1681111.05</v>
      </c>
      <c r="K369" s="354"/>
      <c r="L369" s="99">
        <f t="shared" si="194"/>
        <v>0</v>
      </c>
      <c r="M369" s="354"/>
      <c r="N369" s="99">
        <f>+M369*F369</f>
        <v>0</v>
      </c>
      <c r="O369" s="100">
        <f t="shared" si="195"/>
        <v>4.15</v>
      </c>
      <c r="P369" s="119">
        <f>+I369-K369-M369</f>
        <v>4.15</v>
      </c>
      <c r="Q369" s="176">
        <f>+P369*F369</f>
        <v>1681111.05</v>
      </c>
      <c r="R369" s="103">
        <f>+I369-K369-M369-P369</f>
        <v>0</v>
      </c>
      <c r="S369" s="104">
        <f>+R369*F369</f>
        <v>0</v>
      </c>
      <c r="T369" s="119">
        <f>+K369+M369+O369+R369</f>
        <v>4.15</v>
      </c>
      <c r="U369" s="374"/>
      <c r="V369" s="179">
        <f>+T369*F369</f>
        <v>1681111.05</v>
      </c>
      <c r="W369" s="123">
        <f>+I369-T369</f>
        <v>0</v>
      </c>
      <c r="X369" s="375">
        <f>+W369*F369</f>
        <v>0</v>
      </c>
      <c r="Y369" s="125">
        <f t="shared" si="206"/>
        <v>0</v>
      </c>
      <c r="Z369" s="126">
        <f t="shared" si="184"/>
        <v>0</v>
      </c>
      <c r="AA369" s="126">
        <f t="shared" si="207"/>
        <v>1681111.05</v>
      </c>
    </row>
    <row r="370" spans="1:27" s="291" customFormat="1" ht="15" customHeight="1">
      <c r="A370" s="109"/>
      <c r="B370" s="110"/>
      <c r="C370" s="90"/>
      <c r="D370" s="356" t="s">
        <v>31</v>
      </c>
      <c r="E370" s="357"/>
      <c r="F370" s="376"/>
      <c r="G370" s="359"/>
      <c r="H370" s="360"/>
      <c r="I370" s="361"/>
      <c r="J370" s="362">
        <f>SUM(J367:J369)</f>
        <v>3413722.05</v>
      </c>
      <c r="K370" s="363"/>
      <c r="L370" s="362">
        <f>SUM(L367:L369)</f>
        <v>0</v>
      </c>
      <c r="M370" s="363"/>
      <c r="N370" s="362">
        <f>SUM(N367:N369)</f>
        <v>0</v>
      </c>
      <c r="O370" s="100">
        <f t="shared" si="195"/>
        <v>0</v>
      </c>
      <c r="P370" s="364"/>
      <c r="Q370" s="362">
        <f>SUM(Q367:Q369)</f>
        <v>3413722.05</v>
      </c>
      <c r="R370" s="365"/>
      <c r="S370" s="362">
        <f>SUM(S367:S369)</f>
        <v>0</v>
      </c>
      <c r="T370" s="364"/>
      <c r="U370" s="366"/>
      <c r="V370" s="362">
        <f>SUM(V367:V369)</f>
        <v>3413722.05</v>
      </c>
      <c r="W370" s="367"/>
      <c r="X370" s="141">
        <f>SUM(X367:X369)</f>
        <v>0</v>
      </c>
      <c r="Y370" s="125">
        <f t="shared" si="206"/>
        <v>0</v>
      </c>
      <c r="Z370" s="126">
        <f t="shared" si="184"/>
        <v>0</v>
      </c>
      <c r="AA370" s="126" t="s">
        <v>382</v>
      </c>
    </row>
    <row r="371" spans="1:27" s="291" customFormat="1" ht="15" customHeight="1">
      <c r="A371" s="109"/>
      <c r="B371" s="110"/>
      <c r="C371" s="90"/>
      <c r="D371" s="406" t="s">
        <v>383</v>
      </c>
      <c r="E371" s="369"/>
      <c r="F371" s="415"/>
      <c r="G371" s="319"/>
      <c r="H371" s="320"/>
      <c r="I371" s="103"/>
      <c r="J371" s="353"/>
      <c r="K371" s="354"/>
      <c r="L371" s="99"/>
      <c r="M371" s="354"/>
      <c r="N371" s="99"/>
      <c r="O371" s="100">
        <f t="shared" si="195"/>
        <v>0</v>
      </c>
      <c r="P371" s="325"/>
      <c r="Q371" s="322"/>
      <c r="R371" s="321"/>
      <c r="S371" s="322"/>
      <c r="T371" s="325"/>
      <c r="U371" s="326"/>
      <c r="V371" s="322"/>
      <c r="W371" s="371"/>
      <c r="X371" s="327"/>
      <c r="Y371" s="125">
        <f t="shared" si="206"/>
        <v>0</v>
      </c>
      <c r="Z371" s="126">
        <f t="shared" si="184"/>
        <v>0</v>
      </c>
      <c r="AA371" s="126">
        <f t="shared" si="207"/>
        <v>0</v>
      </c>
    </row>
    <row r="372" spans="1:27" s="346" customFormat="1" ht="21" customHeight="1">
      <c r="A372" s="328"/>
      <c r="B372" s="329"/>
      <c r="C372" s="391" t="s">
        <v>338</v>
      </c>
      <c r="D372" s="386" t="s">
        <v>384</v>
      </c>
      <c r="E372" s="369" t="s">
        <v>2</v>
      </c>
      <c r="F372" s="408">
        <v>1475035</v>
      </c>
      <c r="G372" s="405"/>
      <c r="H372" s="333"/>
      <c r="I372" s="388">
        <v>0</v>
      </c>
      <c r="J372" s="335">
        <f t="shared" si="196"/>
        <v>0</v>
      </c>
      <c r="K372" s="336"/>
      <c r="L372" s="338">
        <f t="shared" si="194"/>
        <v>0</v>
      </c>
      <c r="M372" s="336"/>
      <c r="N372" s="338">
        <f>+M372*F372</f>
        <v>0</v>
      </c>
      <c r="O372" s="339">
        <f t="shared" si="195"/>
        <v>0</v>
      </c>
      <c r="P372" s="340">
        <f>+I372-K372-M372</f>
        <v>0</v>
      </c>
      <c r="Q372" s="338">
        <f>+P372*F372</f>
        <v>0</v>
      </c>
      <c r="R372" s="334">
        <f>+I372-K372-M372-P372</f>
        <v>0</v>
      </c>
      <c r="S372" s="337">
        <f>+R372*F372</f>
        <v>0</v>
      </c>
      <c r="T372" s="340">
        <f>+K372+M372+O372+R372</f>
        <v>0</v>
      </c>
      <c r="U372" s="389"/>
      <c r="V372" s="342">
        <f>+T372*F372</f>
        <v>0</v>
      </c>
      <c r="W372" s="343">
        <f>+I372-T372</f>
        <v>0</v>
      </c>
      <c r="X372" s="390">
        <f>+W372*F372</f>
        <v>0</v>
      </c>
      <c r="Y372" s="125">
        <f t="shared" si="206"/>
        <v>0</v>
      </c>
      <c r="Z372" s="345">
        <f t="shared" si="184"/>
        <v>0</v>
      </c>
      <c r="AA372" s="345">
        <f t="shared" si="207"/>
        <v>0</v>
      </c>
    </row>
    <row r="373" spans="1:27" s="355" customFormat="1" ht="15" customHeight="1">
      <c r="A373" s="170"/>
      <c r="B373" s="171">
        <v>24.5</v>
      </c>
      <c r="C373" s="401"/>
      <c r="D373" s="383" t="s">
        <v>94</v>
      </c>
      <c r="E373" s="384" t="s">
        <v>2</v>
      </c>
      <c r="F373" s="385">
        <v>211004</v>
      </c>
      <c r="G373" s="378"/>
      <c r="H373" s="352"/>
      <c r="I373" s="379">
        <v>0</v>
      </c>
      <c r="J373" s="353">
        <f t="shared" si="196"/>
        <v>0</v>
      </c>
      <c r="K373" s="354"/>
      <c r="L373" s="99">
        <f t="shared" si="194"/>
        <v>0</v>
      </c>
      <c r="M373" s="354"/>
      <c r="N373" s="99">
        <f>+M373*F373</f>
        <v>0</v>
      </c>
      <c r="O373" s="100">
        <f t="shared" si="195"/>
        <v>0</v>
      </c>
      <c r="P373" s="119">
        <f>+I373-K373-M373</f>
        <v>0</v>
      </c>
      <c r="Q373" s="176">
        <f>+P373*F373</f>
        <v>0</v>
      </c>
      <c r="R373" s="103">
        <f>+I373-K373-M373-P373</f>
        <v>0</v>
      </c>
      <c r="S373" s="104">
        <f>+R373*F373</f>
        <v>0</v>
      </c>
      <c r="T373" s="119">
        <f>+K373+M373+O373+R373</f>
        <v>0</v>
      </c>
      <c r="U373" s="374"/>
      <c r="V373" s="179">
        <f>+T373*F373</f>
        <v>0</v>
      </c>
      <c r="W373" s="123">
        <f>+I373-T373</f>
        <v>0</v>
      </c>
      <c r="X373" s="375">
        <f>+W373*F373</f>
        <v>0</v>
      </c>
      <c r="Y373" s="125">
        <f t="shared" si="206"/>
        <v>0</v>
      </c>
      <c r="Z373" s="195">
        <f t="shared" si="184"/>
        <v>0</v>
      </c>
      <c r="AA373" s="126">
        <f t="shared" si="207"/>
        <v>0</v>
      </c>
    </row>
    <row r="374" spans="1:27" s="355" customFormat="1" ht="15" customHeight="1">
      <c r="A374" s="416"/>
      <c r="B374" s="417"/>
      <c r="C374" s="418"/>
      <c r="D374" s="419" t="s">
        <v>28</v>
      </c>
      <c r="E374" s="420" t="s">
        <v>2</v>
      </c>
      <c r="F374" s="421">
        <v>281670</v>
      </c>
      <c r="G374" s="422"/>
      <c r="H374" s="423"/>
      <c r="I374" s="424">
        <v>0</v>
      </c>
      <c r="J374" s="353">
        <f t="shared" si="196"/>
        <v>0</v>
      </c>
      <c r="K374" s="425"/>
      <c r="L374" s="99">
        <f t="shared" si="194"/>
        <v>0</v>
      </c>
      <c r="M374" s="425"/>
      <c r="N374" s="99">
        <f>+M374*F374</f>
        <v>0</v>
      </c>
      <c r="O374" s="100">
        <f t="shared" si="195"/>
        <v>0</v>
      </c>
      <c r="P374" s="119">
        <f>+I374-K374-M374</f>
        <v>0</v>
      </c>
      <c r="Q374" s="176">
        <f>+P374*F374</f>
        <v>0</v>
      </c>
      <c r="R374" s="103">
        <f>+I374-K374-M374-P374</f>
        <v>0</v>
      </c>
      <c r="S374" s="104">
        <f>+R374*F374</f>
        <v>0</v>
      </c>
      <c r="T374" s="119">
        <f>+K374+M374+O374+R374</f>
        <v>0</v>
      </c>
      <c r="U374" s="374"/>
      <c r="V374" s="179">
        <f>+T374*F374</f>
        <v>0</v>
      </c>
      <c r="W374" s="123">
        <f>+I374-T374</f>
        <v>0</v>
      </c>
      <c r="X374" s="375">
        <f>+W374*F374</f>
        <v>0</v>
      </c>
      <c r="Y374" s="125">
        <f t="shared" si="206"/>
        <v>0</v>
      </c>
      <c r="Z374" s="195">
        <f t="shared" si="184"/>
        <v>0</v>
      </c>
      <c r="AA374" s="126">
        <f t="shared" si="207"/>
        <v>0</v>
      </c>
    </row>
    <row r="375" spans="1:27" s="355" customFormat="1" ht="15" customHeight="1">
      <c r="A375" s="416"/>
      <c r="B375" s="417"/>
      <c r="C375" s="418"/>
      <c r="D375" s="419" t="s">
        <v>385</v>
      </c>
      <c r="E375" s="420" t="s">
        <v>2</v>
      </c>
      <c r="F375" s="421">
        <v>1480000</v>
      </c>
      <c r="G375" s="422"/>
      <c r="H375" s="423"/>
      <c r="I375" s="424">
        <v>0</v>
      </c>
      <c r="J375" s="353">
        <f t="shared" si="196"/>
        <v>0</v>
      </c>
      <c r="K375" s="425"/>
      <c r="L375" s="99">
        <f t="shared" si="194"/>
        <v>0</v>
      </c>
      <c r="M375" s="425"/>
      <c r="N375" s="99">
        <f>+M375*F375</f>
        <v>0</v>
      </c>
      <c r="O375" s="100">
        <f t="shared" si="195"/>
        <v>0</v>
      </c>
      <c r="P375" s="119">
        <f>+I375-K375-M375</f>
        <v>0</v>
      </c>
      <c r="Q375" s="176">
        <f>+P375*F375</f>
        <v>0</v>
      </c>
      <c r="R375" s="103">
        <f>+I375-K375-M375-P375</f>
        <v>0</v>
      </c>
      <c r="S375" s="104">
        <f>+R375*F375</f>
        <v>0</v>
      </c>
      <c r="T375" s="119">
        <f>+K375+M375+O375+R375</f>
        <v>0</v>
      </c>
      <c r="U375" s="374"/>
      <c r="V375" s="179">
        <f>+T375*F375</f>
        <v>0</v>
      </c>
      <c r="W375" s="123">
        <f>+I375-T375</f>
        <v>0</v>
      </c>
      <c r="X375" s="375">
        <f>+W375*F375</f>
        <v>0</v>
      </c>
      <c r="Y375" s="125">
        <f t="shared" si="206"/>
        <v>0</v>
      </c>
      <c r="Z375" s="195">
        <f t="shared" si="184"/>
        <v>0</v>
      </c>
      <c r="AA375" s="126">
        <f t="shared" si="207"/>
        <v>0</v>
      </c>
    </row>
    <row r="376" spans="1:27" s="355" customFormat="1" ht="15" customHeight="1">
      <c r="A376" s="426"/>
      <c r="B376" s="427"/>
      <c r="C376" s="428"/>
      <c r="D376" s="356" t="s">
        <v>31</v>
      </c>
      <c r="E376" s="357"/>
      <c r="F376" s="376"/>
      <c r="G376" s="359"/>
      <c r="H376" s="360"/>
      <c r="I376" s="361"/>
      <c r="J376" s="362">
        <f>SUM(J372:J375)</f>
        <v>0</v>
      </c>
      <c r="K376" s="363"/>
      <c r="L376" s="362">
        <f>SUM(L372:L375)</f>
        <v>0</v>
      </c>
      <c r="M376" s="363"/>
      <c r="N376" s="362">
        <f>SUM(N372:N375)</f>
        <v>0</v>
      </c>
      <c r="O376" s="100">
        <f t="shared" si="195"/>
        <v>0</v>
      </c>
      <c r="P376" s="364"/>
      <c r="Q376" s="362">
        <f>SUM(Q372:Q375)</f>
        <v>0</v>
      </c>
      <c r="R376" s="365"/>
      <c r="S376" s="362">
        <f>SUM(S372:S375)</f>
        <v>0</v>
      </c>
      <c r="T376" s="364"/>
      <c r="U376" s="366"/>
      <c r="V376" s="362">
        <f>SUM(V372:V375)</f>
        <v>0</v>
      </c>
      <c r="W376" s="367"/>
      <c r="X376" s="141">
        <f>SUM(X372:X375)</f>
        <v>0</v>
      </c>
      <c r="Y376" s="125">
        <f t="shared" si="206"/>
        <v>0</v>
      </c>
      <c r="Z376" s="126">
        <f t="shared" si="184"/>
        <v>0</v>
      </c>
      <c r="AA376" s="126">
        <f t="shared" si="207"/>
        <v>0</v>
      </c>
    </row>
    <row r="377" spans="1:27" s="355" customFormat="1" ht="15" customHeight="1">
      <c r="A377" s="426"/>
      <c r="B377" s="427"/>
      <c r="C377" s="428"/>
      <c r="D377" s="429" t="s">
        <v>386</v>
      </c>
      <c r="E377" s="420"/>
      <c r="F377" s="421"/>
      <c r="G377" s="422"/>
      <c r="H377" s="423"/>
      <c r="I377" s="424"/>
      <c r="J377" s="430"/>
      <c r="K377" s="425"/>
      <c r="L377" s="99"/>
      <c r="M377" s="425"/>
      <c r="N377" s="99"/>
      <c r="O377" s="100">
        <f t="shared" si="195"/>
        <v>0</v>
      </c>
      <c r="P377" s="397"/>
      <c r="Q377" s="99"/>
      <c r="R377" s="103"/>
      <c r="S377" s="104"/>
      <c r="T377" s="119"/>
      <c r="U377" s="374"/>
      <c r="V377" s="122"/>
      <c r="W377" s="123"/>
      <c r="X377" s="431"/>
      <c r="Y377" s="125">
        <f t="shared" si="206"/>
        <v>0</v>
      </c>
      <c r="Z377" s="126">
        <f aca="true" t="shared" si="208" ref="Z377:Z402">+X377-Y377</f>
        <v>0</v>
      </c>
      <c r="AA377" s="126">
        <f t="shared" si="207"/>
        <v>0</v>
      </c>
    </row>
    <row r="378" spans="1:27" s="346" customFormat="1" ht="30" customHeight="1">
      <c r="A378" s="432"/>
      <c r="B378" s="433"/>
      <c r="C378" s="428"/>
      <c r="D378" s="434" t="s">
        <v>76</v>
      </c>
      <c r="E378" s="435" t="s">
        <v>2</v>
      </c>
      <c r="F378" s="436">
        <v>1475035</v>
      </c>
      <c r="G378" s="437"/>
      <c r="H378" s="438"/>
      <c r="I378" s="388">
        <v>1</v>
      </c>
      <c r="J378" s="335">
        <f>+I378*F378</f>
        <v>1475035</v>
      </c>
      <c r="K378" s="439"/>
      <c r="L378" s="338">
        <f t="shared" si="194"/>
        <v>0</v>
      </c>
      <c r="M378" s="439"/>
      <c r="N378" s="338">
        <f>+M378*F378</f>
        <v>0</v>
      </c>
      <c r="O378" s="339">
        <f t="shared" si="195"/>
        <v>1</v>
      </c>
      <c r="P378" s="340">
        <f>+I378-K378-M378</f>
        <v>1</v>
      </c>
      <c r="Q378" s="338">
        <f>+P378*F378</f>
        <v>1475035</v>
      </c>
      <c r="R378" s="334">
        <f>+I378-K378-M378-P378</f>
        <v>0</v>
      </c>
      <c r="S378" s="337">
        <f>+R378*F378</f>
        <v>0</v>
      </c>
      <c r="T378" s="340">
        <f>+K378+M378+O378+R378</f>
        <v>1</v>
      </c>
      <c r="U378" s="389"/>
      <c r="V378" s="342">
        <f>+T378*F378</f>
        <v>1475035</v>
      </c>
      <c r="W378" s="343">
        <f>+I378-T378</f>
        <v>0</v>
      </c>
      <c r="X378" s="390">
        <f>+W378*F378</f>
        <v>0</v>
      </c>
      <c r="Y378" s="125">
        <f t="shared" si="206"/>
        <v>0</v>
      </c>
      <c r="Z378" s="345">
        <f t="shared" si="208"/>
        <v>0</v>
      </c>
      <c r="AA378" s="345">
        <f t="shared" si="207"/>
        <v>1475035</v>
      </c>
    </row>
    <row r="379" spans="1:27" s="355" customFormat="1" ht="15" customHeight="1">
      <c r="A379" s="416"/>
      <c r="B379" s="417"/>
      <c r="C379" s="418"/>
      <c r="D379" s="419" t="s">
        <v>387</v>
      </c>
      <c r="E379" s="420" t="s">
        <v>2</v>
      </c>
      <c r="F379" s="421">
        <v>211004</v>
      </c>
      <c r="G379" s="422"/>
      <c r="H379" s="423"/>
      <c r="I379" s="379">
        <v>2</v>
      </c>
      <c r="J379" s="353">
        <f>+I379*F379</f>
        <v>422008</v>
      </c>
      <c r="K379" s="425"/>
      <c r="L379" s="99">
        <f t="shared" si="194"/>
        <v>0</v>
      </c>
      <c r="M379" s="425"/>
      <c r="N379" s="99">
        <f>+M379*F379</f>
        <v>0</v>
      </c>
      <c r="O379" s="100">
        <f t="shared" si="195"/>
        <v>2</v>
      </c>
      <c r="P379" s="119">
        <f>+I379-K379-M379</f>
        <v>2</v>
      </c>
      <c r="Q379" s="176">
        <f>+P379*F379</f>
        <v>422008</v>
      </c>
      <c r="R379" s="103">
        <f>+I379-K379-M379-P379</f>
        <v>0</v>
      </c>
      <c r="S379" s="104">
        <f>+R379*F379</f>
        <v>0</v>
      </c>
      <c r="T379" s="119">
        <f>+K379+M379+O379+R379</f>
        <v>2</v>
      </c>
      <c r="U379" s="374"/>
      <c r="V379" s="179">
        <f>+T379*F379</f>
        <v>422008</v>
      </c>
      <c r="W379" s="123">
        <f>+I379-T379</f>
        <v>0</v>
      </c>
      <c r="X379" s="375">
        <f>+W379*F379</f>
        <v>0</v>
      </c>
      <c r="Y379" s="125">
        <f t="shared" si="206"/>
        <v>0</v>
      </c>
      <c r="Z379" s="195">
        <f t="shared" si="208"/>
        <v>0</v>
      </c>
      <c r="AA379" s="126">
        <f t="shared" si="207"/>
        <v>422008</v>
      </c>
    </row>
    <row r="380" spans="1:27" s="355" customFormat="1" ht="15" customHeight="1">
      <c r="A380" s="416"/>
      <c r="B380" s="417"/>
      <c r="C380" s="418"/>
      <c r="D380" s="419" t="s">
        <v>28</v>
      </c>
      <c r="E380" s="420" t="s">
        <v>2</v>
      </c>
      <c r="F380" s="421">
        <v>281670</v>
      </c>
      <c r="G380" s="422"/>
      <c r="H380" s="423"/>
      <c r="I380" s="379">
        <v>1</v>
      </c>
      <c r="J380" s="353">
        <f>+I380*F380</f>
        <v>281670</v>
      </c>
      <c r="K380" s="425"/>
      <c r="L380" s="99">
        <f t="shared" si="194"/>
        <v>0</v>
      </c>
      <c r="M380" s="425"/>
      <c r="N380" s="99">
        <f>+M380*F380</f>
        <v>0</v>
      </c>
      <c r="O380" s="100">
        <f t="shared" si="195"/>
        <v>1</v>
      </c>
      <c r="P380" s="119">
        <f>+I380-K380-M380</f>
        <v>1</v>
      </c>
      <c r="Q380" s="176">
        <f>+P380*F380</f>
        <v>281670</v>
      </c>
      <c r="R380" s="103">
        <f>+I380-K380-M380-P380</f>
        <v>0</v>
      </c>
      <c r="S380" s="104">
        <f>+R380*F380</f>
        <v>0</v>
      </c>
      <c r="T380" s="119">
        <f>+K380+M380+O380+R380</f>
        <v>1</v>
      </c>
      <c r="U380" s="374"/>
      <c r="V380" s="179">
        <f>+T380*F380</f>
        <v>281670</v>
      </c>
      <c r="W380" s="123">
        <f>+I380-T380</f>
        <v>0</v>
      </c>
      <c r="X380" s="375">
        <f>+W380*F380</f>
        <v>0</v>
      </c>
      <c r="Y380" s="125">
        <f t="shared" si="206"/>
        <v>0</v>
      </c>
      <c r="Z380" s="195">
        <f t="shared" si="208"/>
        <v>0</v>
      </c>
      <c r="AA380" s="126">
        <f t="shared" si="207"/>
        <v>281670</v>
      </c>
    </row>
    <row r="381" spans="1:27" s="355" customFormat="1" ht="15" customHeight="1">
      <c r="A381" s="426"/>
      <c r="B381" s="427"/>
      <c r="C381" s="428"/>
      <c r="D381" s="356" t="s">
        <v>31</v>
      </c>
      <c r="E381" s="357"/>
      <c r="F381" s="376"/>
      <c r="G381" s="359"/>
      <c r="H381" s="360"/>
      <c r="I381" s="361"/>
      <c r="J381" s="362">
        <f>SUM(J378:J380)</f>
        <v>2178713</v>
      </c>
      <c r="K381" s="363"/>
      <c r="L381" s="362">
        <f>SUM(L378:L380)</f>
        <v>0</v>
      </c>
      <c r="M381" s="363"/>
      <c r="N381" s="362">
        <f>SUM(N378:N380)</f>
        <v>0</v>
      </c>
      <c r="O381" s="100">
        <f t="shared" si="195"/>
        <v>0</v>
      </c>
      <c r="P381" s="364"/>
      <c r="Q381" s="362">
        <f>SUM(Q378:Q380)</f>
        <v>2178713</v>
      </c>
      <c r="R381" s="365"/>
      <c r="S381" s="362">
        <f>SUM(S378:S380)</f>
        <v>0</v>
      </c>
      <c r="T381" s="364"/>
      <c r="U381" s="366"/>
      <c r="V381" s="362">
        <f>SUM(V378:V380)</f>
        <v>2178713</v>
      </c>
      <c r="W381" s="367"/>
      <c r="X381" s="141">
        <f>SUM(X378:X380)</f>
        <v>0</v>
      </c>
      <c r="Y381" s="125">
        <f t="shared" si="206"/>
        <v>0</v>
      </c>
      <c r="Z381" s="126">
        <f t="shared" si="208"/>
        <v>0</v>
      </c>
      <c r="AA381" s="126"/>
    </row>
    <row r="382" spans="1:27" s="355" customFormat="1" ht="15" customHeight="1">
      <c r="A382" s="426"/>
      <c r="B382" s="427"/>
      <c r="C382" s="428"/>
      <c r="D382" s="429" t="s">
        <v>185</v>
      </c>
      <c r="E382" s="420"/>
      <c r="F382" s="421"/>
      <c r="G382" s="422"/>
      <c r="H382" s="423"/>
      <c r="I382" s="424"/>
      <c r="J382" s="430"/>
      <c r="K382" s="425"/>
      <c r="L382" s="99"/>
      <c r="M382" s="425"/>
      <c r="N382" s="99"/>
      <c r="O382" s="100">
        <f t="shared" si="195"/>
        <v>0</v>
      </c>
      <c r="P382" s="440"/>
      <c r="Q382" s="99"/>
      <c r="R382" s="103"/>
      <c r="S382" s="104"/>
      <c r="T382" s="119"/>
      <c r="U382" s="374"/>
      <c r="V382" s="122"/>
      <c r="W382" s="123"/>
      <c r="X382" s="431"/>
      <c r="Y382" s="125">
        <f t="shared" si="206"/>
        <v>0</v>
      </c>
      <c r="Z382" s="126">
        <f t="shared" si="208"/>
        <v>0</v>
      </c>
      <c r="AA382" s="126">
        <f t="shared" si="207"/>
        <v>0</v>
      </c>
    </row>
    <row r="383" spans="1:27" s="355" customFormat="1" ht="15" customHeight="1">
      <c r="A383" s="426"/>
      <c r="B383" s="427"/>
      <c r="C383" s="428"/>
      <c r="D383" s="419" t="s">
        <v>186</v>
      </c>
      <c r="E383" s="420"/>
      <c r="F383" s="421"/>
      <c r="G383" s="422"/>
      <c r="H383" s="423"/>
      <c r="I383" s="424"/>
      <c r="J383" s="430"/>
      <c r="K383" s="425"/>
      <c r="L383" s="99">
        <f t="shared" si="194"/>
        <v>0</v>
      </c>
      <c r="M383" s="425"/>
      <c r="N383" s="99">
        <f>+M383*F383</f>
        <v>0</v>
      </c>
      <c r="O383" s="100">
        <f t="shared" si="195"/>
        <v>0</v>
      </c>
      <c r="P383" s="397"/>
      <c r="Q383" s="99"/>
      <c r="R383" s="103"/>
      <c r="S383" s="104"/>
      <c r="T383" s="119"/>
      <c r="U383" s="374"/>
      <c r="V383" s="122"/>
      <c r="W383" s="123"/>
      <c r="X383" s="431"/>
      <c r="Y383" s="125">
        <f t="shared" si="206"/>
        <v>0</v>
      </c>
      <c r="Z383" s="126">
        <f t="shared" si="208"/>
        <v>0</v>
      </c>
      <c r="AA383" s="126">
        <f t="shared" si="207"/>
        <v>0</v>
      </c>
    </row>
    <row r="384" spans="1:27" s="355" customFormat="1" ht="15" customHeight="1">
      <c r="A384" s="426"/>
      <c r="B384" s="427"/>
      <c r="C384" s="428"/>
      <c r="D384" s="419" t="s">
        <v>119</v>
      </c>
      <c r="E384" s="420" t="s">
        <v>20</v>
      </c>
      <c r="F384" s="421">
        <v>416035</v>
      </c>
      <c r="G384" s="422"/>
      <c r="H384" s="423"/>
      <c r="I384" s="379">
        <v>24.25</v>
      </c>
      <c r="J384" s="353">
        <f>+I384*F384</f>
        <v>10088848.75</v>
      </c>
      <c r="K384" s="354"/>
      <c r="L384" s="99">
        <f t="shared" si="194"/>
        <v>0</v>
      </c>
      <c r="M384" s="354"/>
      <c r="N384" s="99">
        <f>+M384*F384</f>
        <v>0</v>
      </c>
      <c r="O384" s="128">
        <v>4.270516743659268</v>
      </c>
      <c r="P384" s="119">
        <v>4.270516743659268</v>
      </c>
      <c r="Q384" s="176">
        <f>+P384*F384</f>
        <v>1776684.4334482837</v>
      </c>
      <c r="R384" s="103">
        <f>+I384-K384-M384-P384</f>
        <v>19.979483256340732</v>
      </c>
      <c r="S384" s="104">
        <f>+R384*F384</f>
        <v>8312164.316551716</v>
      </c>
      <c r="T384" s="119">
        <f>+K384+M384+O384+R384</f>
        <v>24.25</v>
      </c>
      <c r="U384" s="374"/>
      <c r="V384" s="179">
        <f>+T384*F384</f>
        <v>10088848.75</v>
      </c>
      <c r="W384" s="123">
        <f>+I384-T384</f>
        <v>0</v>
      </c>
      <c r="X384" s="375">
        <f>+W384*F384</f>
        <v>0</v>
      </c>
      <c r="Y384" s="125">
        <f t="shared" si="206"/>
        <v>0</v>
      </c>
      <c r="Z384" s="126">
        <f t="shared" si="208"/>
        <v>0</v>
      </c>
      <c r="AA384" s="126">
        <f t="shared" si="207"/>
        <v>1776684.4334482837</v>
      </c>
    </row>
    <row r="385" spans="1:27" s="355" customFormat="1" ht="15" customHeight="1">
      <c r="A385" s="426"/>
      <c r="B385" s="427"/>
      <c r="C385" s="428"/>
      <c r="D385" s="419" t="s">
        <v>353</v>
      </c>
      <c r="E385" s="420" t="s">
        <v>20</v>
      </c>
      <c r="F385" s="421">
        <v>416035</v>
      </c>
      <c r="G385" s="422"/>
      <c r="H385" s="423"/>
      <c r="I385" s="379">
        <v>5.49</v>
      </c>
      <c r="J385" s="353">
        <f>+I385*F385</f>
        <v>2284032.15</v>
      </c>
      <c r="K385" s="354"/>
      <c r="L385" s="99">
        <f t="shared" si="194"/>
        <v>0</v>
      </c>
      <c r="M385" s="354"/>
      <c r="N385" s="99">
        <f>+M385*F385</f>
        <v>0</v>
      </c>
      <c r="O385" s="100">
        <f t="shared" si="195"/>
        <v>5.49</v>
      </c>
      <c r="P385" s="119">
        <f>+I385-K385-M385</f>
        <v>5.49</v>
      </c>
      <c r="Q385" s="176">
        <f>+P385*F385</f>
        <v>2284032.15</v>
      </c>
      <c r="R385" s="103">
        <f>+I385-K385-M385-P385</f>
        <v>0</v>
      </c>
      <c r="S385" s="104">
        <f>+R385*F385</f>
        <v>0</v>
      </c>
      <c r="T385" s="119">
        <f>+K385+M385+O385+R385</f>
        <v>5.49</v>
      </c>
      <c r="U385" s="374"/>
      <c r="V385" s="179">
        <f>+T385*F385</f>
        <v>2284032.15</v>
      </c>
      <c r="W385" s="123">
        <f>+I385-T385</f>
        <v>0</v>
      </c>
      <c r="X385" s="375">
        <f>+W385*F385</f>
        <v>0</v>
      </c>
      <c r="Y385" s="125">
        <f t="shared" si="206"/>
        <v>0</v>
      </c>
      <c r="Z385" s="126">
        <f t="shared" si="208"/>
        <v>0</v>
      </c>
      <c r="AA385" s="126">
        <f t="shared" si="207"/>
        <v>2284032.15</v>
      </c>
    </row>
    <row r="386" spans="1:27" s="355" customFormat="1" ht="39.75" customHeight="1">
      <c r="A386" s="416"/>
      <c r="B386" s="417"/>
      <c r="C386" s="418"/>
      <c r="D386" s="441" t="s">
        <v>388</v>
      </c>
      <c r="E386" s="420" t="s">
        <v>20</v>
      </c>
      <c r="F386" s="421">
        <v>385600</v>
      </c>
      <c r="G386" s="422"/>
      <c r="H386" s="423"/>
      <c r="I386" s="379">
        <v>5.49</v>
      </c>
      <c r="J386" s="353">
        <f>+I386*F386</f>
        <v>2116944</v>
      </c>
      <c r="K386" s="354"/>
      <c r="L386" s="176">
        <f t="shared" si="194"/>
        <v>0</v>
      </c>
      <c r="M386" s="354"/>
      <c r="N386" s="176">
        <f>+M386*F386</f>
        <v>0</v>
      </c>
      <c r="O386" s="192">
        <f t="shared" si="195"/>
        <v>5.49</v>
      </c>
      <c r="P386" s="193">
        <f>+I386-K386-M386</f>
        <v>5.49</v>
      </c>
      <c r="Q386" s="176">
        <f>+P386*F386</f>
        <v>2116944</v>
      </c>
      <c r="R386" s="190">
        <f>+I386-K386-M386-P386</f>
        <v>0</v>
      </c>
      <c r="S386" s="194">
        <f>+R386*F386</f>
        <v>0</v>
      </c>
      <c r="T386" s="193">
        <f>+K386+M386+O386+R386</f>
        <v>5.49</v>
      </c>
      <c r="U386" s="374"/>
      <c r="V386" s="179">
        <f>+T386*F386</f>
        <v>2116944</v>
      </c>
      <c r="W386" s="123">
        <f>+I386-T386</f>
        <v>0</v>
      </c>
      <c r="X386" s="375">
        <f>+W386*F386</f>
        <v>0</v>
      </c>
      <c r="Y386" s="125">
        <f t="shared" si="206"/>
        <v>0</v>
      </c>
      <c r="Z386" s="195">
        <f t="shared" si="208"/>
        <v>0</v>
      </c>
      <c r="AA386" s="195">
        <f t="shared" si="207"/>
        <v>2116944</v>
      </c>
    </row>
    <row r="387" spans="1:27" s="355" customFormat="1" ht="15" customHeight="1">
      <c r="A387" s="426"/>
      <c r="B387" s="427"/>
      <c r="C387" s="428"/>
      <c r="D387" s="356" t="s">
        <v>31</v>
      </c>
      <c r="E387" s="357"/>
      <c r="F387" s="376"/>
      <c r="G387" s="359"/>
      <c r="H387" s="360"/>
      <c r="I387" s="361"/>
      <c r="J387" s="362">
        <f>SUM(J383:J386)</f>
        <v>14489824.9</v>
      </c>
      <c r="K387" s="363"/>
      <c r="L387" s="362">
        <f>SUM(L383:L386)</f>
        <v>0</v>
      </c>
      <c r="M387" s="363"/>
      <c r="N387" s="362">
        <f>SUM(N383:N386)</f>
        <v>0</v>
      </c>
      <c r="O387" s="100">
        <f t="shared" si="195"/>
        <v>0</v>
      </c>
      <c r="P387" s="364"/>
      <c r="Q387" s="362">
        <f>SUM(Q383:Q386)</f>
        <v>6177660.583448283</v>
      </c>
      <c r="R387" s="365"/>
      <c r="S387" s="362">
        <f>SUM(S383:S386)</f>
        <v>8312164.316551716</v>
      </c>
      <c r="T387" s="364"/>
      <c r="U387" s="442"/>
      <c r="V387" s="362">
        <f>SUM(V383:V386)</f>
        <v>14489824.9</v>
      </c>
      <c r="W387" s="442"/>
      <c r="X387" s="141">
        <f>SUM(X383:X386)</f>
        <v>0</v>
      </c>
      <c r="Y387" s="125">
        <f t="shared" si="206"/>
        <v>0</v>
      </c>
      <c r="Z387" s="126">
        <f t="shared" si="208"/>
        <v>0</v>
      </c>
      <c r="AA387" s="126"/>
    </row>
    <row r="388" spans="1:27" s="355" customFormat="1" ht="15" customHeight="1">
      <c r="A388" s="426"/>
      <c r="B388" s="427"/>
      <c r="C388" s="428"/>
      <c r="D388" s="429" t="s">
        <v>193</v>
      </c>
      <c r="E388" s="420"/>
      <c r="F388" s="421"/>
      <c r="G388" s="422"/>
      <c r="H388" s="423"/>
      <c r="I388" s="424"/>
      <c r="J388" s="430"/>
      <c r="K388" s="425"/>
      <c r="L388" s="99"/>
      <c r="M388" s="425"/>
      <c r="N388" s="99"/>
      <c r="O388" s="100">
        <f t="shared" si="195"/>
        <v>0</v>
      </c>
      <c r="P388" s="440"/>
      <c r="Q388" s="99"/>
      <c r="R388" s="103"/>
      <c r="S388" s="104"/>
      <c r="T388" s="119"/>
      <c r="U388" s="374"/>
      <c r="V388" s="122"/>
      <c r="W388" s="123"/>
      <c r="X388" s="431"/>
      <c r="Y388" s="125">
        <f t="shared" si="206"/>
        <v>0</v>
      </c>
      <c r="Z388" s="126">
        <f t="shared" si="208"/>
        <v>0</v>
      </c>
      <c r="AA388" s="126">
        <f t="shared" si="207"/>
        <v>0</v>
      </c>
    </row>
    <row r="389" spans="1:27" s="355" customFormat="1" ht="15" customHeight="1">
      <c r="A389" s="426"/>
      <c r="B389" s="427"/>
      <c r="C389" s="428"/>
      <c r="D389" s="419" t="s">
        <v>119</v>
      </c>
      <c r="E389" s="420" t="s">
        <v>20</v>
      </c>
      <c r="F389" s="421">
        <v>416035</v>
      </c>
      <c r="G389" s="422"/>
      <c r="H389" s="423"/>
      <c r="I389" s="424">
        <v>23.67</v>
      </c>
      <c r="J389" s="353">
        <f>+I389*F389</f>
        <v>9847548.450000001</v>
      </c>
      <c r="K389" s="425"/>
      <c r="L389" s="99">
        <f t="shared" si="194"/>
        <v>0</v>
      </c>
      <c r="M389" s="425"/>
      <c r="N389" s="99">
        <f>+M389*F389</f>
        <v>0</v>
      </c>
      <c r="O389" s="100">
        <f t="shared" si="195"/>
        <v>23.67</v>
      </c>
      <c r="P389" s="119">
        <f>+I389-K389-M389</f>
        <v>23.67</v>
      </c>
      <c r="Q389" s="176">
        <f>+P389*F389</f>
        <v>9847548.450000001</v>
      </c>
      <c r="R389" s="103">
        <f>+I389-K389-M389-P389</f>
        <v>0</v>
      </c>
      <c r="S389" s="104">
        <f>+R389*F389</f>
        <v>0</v>
      </c>
      <c r="T389" s="119">
        <f>+K389+M389+O389+R389</f>
        <v>23.67</v>
      </c>
      <c r="U389" s="374"/>
      <c r="V389" s="179">
        <f>+T389*F389</f>
        <v>9847548.450000001</v>
      </c>
      <c r="W389" s="123">
        <f>+I389-T389</f>
        <v>0</v>
      </c>
      <c r="X389" s="375">
        <f>+W389*F389</f>
        <v>0</v>
      </c>
      <c r="Y389" s="125">
        <f t="shared" si="206"/>
        <v>0</v>
      </c>
      <c r="Z389" s="126">
        <f t="shared" si="208"/>
        <v>0</v>
      </c>
      <c r="AA389" s="126">
        <f t="shared" si="207"/>
        <v>9847548.450000001</v>
      </c>
    </row>
    <row r="390" spans="1:27" s="355" customFormat="1" ht="15" customHeight="1">
      <c r="A390" s="426"/>
      <c r="B390" s="427"/>
      <c r="C390" s="428"/>
      <c r="D390" s="419" t="s">
        <v>353</v>
      </c>
      <c r="E390" s="420" t="s">
        <v>20</v>
      </c>
      <c r="F390" s="421">
        <v>416035</v>
      </c>
      <c r="G390" s="422"/>
      <c r="H390" s="423"/>
      <c r="I390" s="424">
        <v>5.4</v>
      </c>
      <c r="J390" s="353">
        <f>+I390*F390</f>
        <v>2246589</v>
      </c>
      <c r="K390" s="425"/>
      <c r="L390" s="99">
        <f t="shared" si="194"/>
        <v>0</v>
      </c>
      <c r="M390" s="425"/>
      <c r="N390" s="99">
        <f>+M390*F390</f>
        <v>0</v>
      </c>
      <c r="O390" s="100">
        <f t="shared" si="195"/>
        <v>5.4</v>
      </c>
      <c r="P390" s="119">
        <f>+I390-K390-M390</f>
        <v>5.4</v>
      </c>
      <c r="Q390" s="176">
        <f>+P390*F390</f>
        <v>2246589</v>
      </c>
      <c r="R390" s="103">
        <f>+I390-K390-M390-P390</f>
        <v>0</v>
      </c>
      <c r="S390" s="104">
        <f>+R390*F390</f>
        <v>0</v>
      </c>
      <c r="T390" s="119">
        <f>+K390+M390+O390+R390</f>
        <v>5.4</v>
      </c>
      <c r="U390" s="374"/>
      <c r="V390" s="179">
        <f>+T390*F390</f>
        <v>2246589</v>
      </c>
      <c r="W390" s="123">
        <f>+I390-T390</f>
        <v>0</v>
      </c>
      <c r="X390" s="375">
        <f>+W390*F390</f>
        <v>0</v>
      </c>
      <c r="Y390" s="125">
        <f t="shared" si="206"/>
        <v>0</v>
      </c>
      <c r="Z390" s="126">
        <f t="shared" si="208"/>
        <v>0</v>
      </c>
      <c r="AA390" s="126">
        <f t="shared" si="207"/>
        <v>2246589</v>
      </c>
    </row>
    <row r="391" spans="1:27" s="355" customFormat="1" ht="37.5" customHeight="1">
      <c r="A391" s="416"/>
      <c r="B391" s="417"/>
      <c r="C391" s="418"/>
      <c r="D391" s="441" t="s">
        <v>389</v>
      </c>
      <c r="E391" s="420" t="s">
        <v>20</v>
      </c>
      <c r="F391" s="421">
        <v>385600</v>
      </c>
      <c r="G391" s="422"/>
      <c r="H391" s="423"/>
      <c r="I391" s="424">
        <v>5.4</v>
      </c>
      <c r="J391" s="353">
        <f>+I391*F391</f>
        <v>2082240.0000000002</v>
      </c>
      <c r="K391" s="425"/>
      <c r="L391" s="176">
        <f>+K391*H391</f>
        <v>0</v>
      </c>
      <c r="M391" s="425"/>
      <c r="N391" s="176">
        <f>+M391*F391</f>
        <v>0</v>
      </c>
      <c r="O391" s="192">
        <f>+I391-K391-M391</f>
        <v>5.4</v>
      </c>
      <c r="P391" s="193">
        <f>+I391-K391-M391</f>
        <v>5.4</v>
      </c>
      <c r="Q391" s="176">
        <f>+P391*F391</f>
        <v>2082240.0000000002</v>
      </c>
      <c r="R391" s="190">
        <f>+I391-K391-M391-P391</f>
        <v>0</v>
      </c>
      <c r="S391" s="194">
        <f>+R391*F391</f>
        <v>0</v>
      </c>
      <c r="T391" s="193">
        <f>+K391+M391+O391+R391</f>
        <v>5.4</v>
      </c>
      <c r="U391" s="374"/>
      <c r="V391" s="179">
        <f>+T391*F391</f>
        <v>2082240.0000000002</v>
      </c>
      <c r="W391" s="123">
        <f>+I391-T391</f>
        <v>0</v>
      </c>
      <c r="X391" s="375">
        <f>+W391*F391</f>
        <v>0</v>
      </c>
      <c r="Y391" s="125">
        <f t="shared" si="206"/>
        <v>0</v>
      </c>
      <c r="Z391" s="195">
        <f t="shared" si="208"/>
        <v>0</v>
      </c>
      <c r="AA391" s="195">
        <f t="shared" si="207"/>
        <v>2082240.0000000002</v>
      </c>
    </row>
    <row r="392" spans="1:27" s="355" customFormat="1" ht="15" customHeight="1">
      <c r="A392" s="426"/>
      <c r="B392" s="427"/>
      <c r="C392" s="428"/>
      <c r="D392" s="356" t="s">
        <v>31</v>
      </c>
      <c r="E392" s="357"/>
      <c r="F392" s="376"/>
      <c r="G392" s="359"/>
      <c r="H392" s="360"/>
      <c r="I392" s="361"/>
      <c r="J392" s="362">
        <f>SUM(J389:J391)</f>
        <v>14176377.450000001</v>
      </c>
      <c r="K392" s="363"/>
      <c r="L392" s="362">
        <f>SUM(L389:L391)</f>
        <v>0</v>
      </c>
      <c r="M392" s="363"/>
      <c r="N392" s="362">
        <f>SUM(N389:N391)</f>
        <v>0</v>
      </c>
      <c r="O392" s="100">
        <f>+I392-K392-M392</f>
        <v>0</v>
      </c>
      <c r="P392" s="364"/>
      <c r="Q392" s="362">
        <f>SUM(Q389:Q391)</f>
        <v>14176377.450000001</v>
      </c>
      <c r="R392" s="365"/>
      <c r="S392" s="362">
        <f>SUM(S389:S391)</f>
        <v>0</v>
      </c>
      <c r="T392" s="364"/>
      <c r="U392" s="442"/>
      <c r="V392" s="362">
        <f>SUM(V389:V391)</f>
        <v>14176377.450000001</v>
      </c>
      <c r="W392" s="442"/>
      <c r="X392" s="141">
        <f>SUM(X389:X391)</f>
        <v>0</v>
      </c>
      <c r="Y392" s="125">
        <f t="shared" si="206"/>
        <v>0</v>
      </c>
      <c r="Z392" s="126">
        <f t="shared" si="208"/>
        <v>0</v>
      </c>
      <c r="AA392" s="126"/>
    </row>
    <row r="393" spans="1:27" s="355" customFormat="1" ht="15" customHeight="1">
      <c r="A393" s="426"/>
      <c r="B393" s="427"/>
      <c r="C393" s="428"/>
      <c r="D393" s="429" t="s">
        <v>390</v>
      </c>
      <c r="E393" s="420"/>
      <c r="F393" s="421"/>
      <c r="G393" s="422"/>
      <c r="H393" s="423"/>
      <c r="I393" s="424"/>
      <c r="J393" s="430"/>
      <c r="K393" s="425"/>
      <c r="L393" s="99"/>
      <c r="M393" s="425"/>
      <c r="N393" s="99"/>
      <c r="O393" s="100">
        <f>+I393-K393-M393</f>
        <v>0</v>
      </c>
      <c r="P393" s="440"/>
      <c r="Q393" s="99"/>
      <c r="R393" s="103"/>
      <c r="S393" s="104"/>
      <c r="T393" s="119"/>
      <c r="U393" s="374"/>
      <c r="V393" s="122"/>
      <c r="W393" s="123"/>
      <c r="X393" s="431"/>
      <c r="Y393" s="125">
        <f t="shared" si="206"/>
        <v>0</v>
      </c>
      <c r="Z393" s="126">
        <f t="shared" si="208"/>
        <v>0</v>
      </c>
      <c r="AA393" s="126">
        <f t="shared" si="207"/>
        <v>0</v>
      </c>
    </row>
    <row r="394" spans="1:27" s="355" customFormat="1" ht="15" customHeight="1">
      <c r="A394" s="426"/>
      <c r="B394" s="427"/>
      <c r="C394" s="428"/>
      <c r="D394" s="419" t="s">
        <v>391</v>
      </c>
      <c r="E394" s="420" t="s">
        <v>2</v>
      </c>
      <c r="F394" s="421">
        <v>21850</v>
      </c>
      <c r="G394" s="422"/>
      <c r="H394" s="423"/>
      <c r="I394" s="424">
        <v>101</v>
      </c>
      <c r="J394" s="353">
        <f>+I394*F394</f>
        <v>2206850</v>
      </c>
      <c r="K394" s="425"/>
      <c r="L394" s="99">
        <f>+K394*H394</f>
        <v>0</v>
      </c>
      <c r="M394" s="425"/>
      <c r="N394" s="99">
        <f>+M394*F394</f>
        <v>0</v>
      </c>
      <c r="O394" s="100">
        <f>+I394-K394-M394</f>
        <v>101</v>
      </c>
      <c r="P394" s="119">
        <f>+I394-K394-M394</f>
        <v>101</v>
      </c>
      <c r="Q394" s="176">
        <f>+P394*F394</f>
        <v>2206850</v>
      </c>
      <c r="R394" s="103">
        <f>+I394-K394-M394-P394</f>
        <v>0</v>
      </c>
      <c r="S394" s="104">
        <f>+R394*F394</f>
        <v>0</v>
      </c>
      <c r="T394" s="119">
        <f>+K394+M394+O394+R394</f>
        <v>101</v>
      </c>
      <c r="U394" s="374"/>
      <c r="V394" s="179">
        <f>+T394*F394</f>
        <v>2206850</v>
      </c>
      <c r="W394" s="123">
        <f>+I394-T394</f>
        <v>0</v>
      </c>
      <c r="X394" s="375">
        <f>+W394*F394</f>
        <v>0</v>
      </c>
      <c r="Y394" s="125">
        <f t="shared" si="206"/>
        <v>0</v>
      </c>
      <c r="Z394" s="126">
        <f t="shared" si="208"/>
        <v>0</v>
      </c>
      <c r="AA394" s="126">
        <f t="shared" si="207"/>
        <v>2206850</v>
      </c>
    </row>
    <row r="395" spans="1:27" s="355" customFormat="1" ht="15" customHeight="1">
      <c r="A395" s="426"/>
      <c r="B395" s="427"/>
      <c r="C395" s="428"/>
      <c r="D395" s="419" t="s">
        <v>392</v>
      </c>
      <c r="E395" s="420" t="s">
        <v>2</v>
      </c>
      <c r="F395" s="421">
        <v>38550</v>
      </c>
      <c r="G395" s="422"/>
      <c r="H395" s="423"/>
      <c r="I395" s="424">
        <v>8</v>
      </c>
      <c r="J395" s="353">
        <f>+I395*F395</f>
        <v>308400</v>
      </c>
      <c r="K395" s="425"/>
      <c r="L395" s="99">
        <f>+K395*H395</f>
        <v>0</v>
      </c>
      <c r="M395" s="425"/>
      <c r="N395" s="99">
        <f>+M395*F395</f>
        <v>0</v>
      </c>
      <c r="O395" s="100">
        <f>+I395-K395-M395</f>
        <v>8</v>
      </c>
      <c r="P395" s="119">
        <f>+I395-K395-M395</f>
        <v>8</v>
      </c>
      <c r="Q395" s="176">
        <f>+P395*F395</f>
        <v>308400</v>
      </c>
      <c r="R395" s="103">
        <f>+I395-K395-M395-P395</f>
        <v>0</v>
      </c>
      <c r="S395" s="104">
        <f>+R395*F395</f>
        <v>0</v>
      </c>
      <c r="T395" s="119">
        <f>+K395+M395+O395+R395</f>
        <v>8</v>
      </c>
      <c r="U395" s="374"/>
      <c r="V395" s="179">
        <f>+T395*F395</f>
        <v>308400</v>
      </c>
      <c r="W395" s="123">
        <f>+I395-T395</f>
        <v>0</v>
      </c>
      <c r="X395" s="375">
        <f>+W395*F395</f>
        <v>0</v>
      </c>
      <c r="Y395" s="125">
        <f t="shared" si="206"/>
        <v>0</v>
      </c>
      <c r="Z395" s="126">
        <f t="shared" si="208"/>
        <v>0</v>
      </c>
      <c r="AA395" s="126">
        <f t="shared" si="207"/>
        <v>308400</v>
      </c>
    </row>
    <row r="396" spans="1:27" s="291" customFormat="1" ht="15" customHeight="1">
      <c r="A396" s="426"/>
      <c r="B396" s="427"/>
      <c r="C396" s="443"/>
      <c r="D396" s="444" t="s">
        <v>31</v>
      </c>
      <c r="E396" s="445"/>
      <c r="F396" s="446"/>
      <c r="G396" s="447"/>
      <c r="H396" s="448"/>
      <c r="I396" s="449"/>
      <c r="J396" s="450">
        <f>SUM(J394:J395)</f>
        <v>2515250</v>
      </c>
      <c r="K396" s="451"/>
      <c r="L396" s="450">
        <f>SUM(L394:L395)</f>
        <v>0</v>
      </c>
      <c r="M396" s="451"/>
      <c r="N396" s="450">
        <f>SUM(N394:N395)</f>
        <v>0</v>
      </c>
      <c r="O396" s="451"/>
      <c r="P396" s="452"/>
      <c r="Q396" s="450">
        <f>SUM(Q394:Q395)</f>
        <v>2515250</v>
      </c>
      <c r="R396" s="453"/>
      <c r="S396" s="450">
        <f>SUM(S394:S395)</f>
        <v>0</v>
      </c>
      <c r="T396" s="452"/>
      <c r="U396" s="454"/>
      <c r="V396" s="450">
        <f>SUM(V394:V395)</f>
        <v>2515250</v>
      </c>
      <c r="W396" s="455"/>
      <c r="X396" s="141">
        <f>SUM(X394:X395)</f>
        <v>0</v>
      </c>
      <c r="Y396" s="125">
        <f t="shared" si="206"/>
        <v>0</v>
      </c>
      <c r="Z396" s="126">
        <f t="shared" si="208"/>
        <v>0</v>
      </c>
      <c r="AA396" s="126"/>
    </row>
    <row r="397" spans="1:27" s="291" customFormat="1" ht="15" customHeight="1" thickBot="1">
      <c r="A397" s="456"/>
      <c r="B397" s="457"/>
      <c r="C397" s="458"/>
      <c r="D397" s="653" t="s">
        <v>309</v>
      </c>
      <c r="E397" s="653"/>
      <c r="F397" s="459"/>
      <c r="G397" s="460"/>
      <c r="H397" s="461">
        <f>+H253</f>
        <v>1342573623.4199998</v>
      </c>
      <c r="I397" s="462"/>
      <c r="J397" s="463">
        <f>+ROUND((J396+J370+J365+J359+J335+J332+J320+J308+J300+J296+J291+J286+J282+J278+J273+J269+J266+J392+J387+J381+J376),0)</f>
        <v>488585513</v>
      </c>
      <c r="K397" s="451"/>
      <c r="L397" s="464">
        <f>+ROUND((L396+L370+L365+L359+L335+L332+L320+L308+L300+L296+L291+L286+L282+L278+L273+L269+L266+L392+L387+L381+L376),0)</f>
        <v>0</v>
      </c>
      <c r="M397" s="451"/>
      <c r="N397" s="464">
        <f>+ROUND((N396+N370+N365+N359+N335+N332+N320+N308+N300+N296+N291+N286+N282+N278+N273+N269+N266+N392+N387+N381+N376),0)</f>
        <v>162116125</v>
      </c>
      <c r="O397" s="451"/>
      <c r="P397" s="465"/>
      <c r="Q397" s="450">
        <f>+Q396+Q370+Q365+Q359+Q335+Q332+Q320+Q308+Q300+Q296+Q291+Q286+Q282+Q278+Q273+Q269+Q266+Q392+Q387+Q381+Q376</f>
        <v>306587777.27257365</v>
      </c>
      <c r="R397" s="466"/>
      <c r="S397" s="450">
        <f>+S396+S370+S365+S359+S335+S332+S320+S308+S300+S296+S291+S286+S282+S278+S273+S269+S266+S392+S387+S381+S376</f>
        <v>19881610.867426336</v>
      </c>
      <c r="T397" s="465"/>
      <c r="U397" s="467"/>
      <c r="V397" s="450">
        <f>+V396+V370+V365+V359+V335+V332+V320+V308+V300+V296+V291+V286+V282+V278+V273+V269+V266+V392+V387+V381+V376</f>
        <v>488585512.76</v>
      </c>
      <c r="W397" s="440"/>
      <c r="X397" s="141">
        <f>+X396+X370+X365+X359+X335+X332+X320+X308+X300+X296+X291+X286+X282+X278+X273+X269+X266+X392+X387+X381+X376</f>
        <v>0</v>
      </c>
      <c r="Y397" s="125">
        <f t="shared" si="206"/>
        <v>0.24000000953674316</v>
      </c>
      <c r="Z397" s="126">
        <f t="shared" si="208"/>
        <v>-0.24000000953674316</v>
      </c>
      <c r="AA397" s="126"/>
    </row>
    <row r="398" spans="1:27" s="291" customFormat="1" ht="15" customHeight="1">
      <c r="A398" s="88"/>
      <c r="B398" s="89"/>
      <c r="C398" s="468"/>
      <c r="D398" s="469" t="s">
        <v>310</v>
      </c>
      <c r="E398" s="470" t="s">
        <v>311</v>
      </c>
      <c r="F398" s="471"/>
      <c r="G398" s="243"/>
      <c r="H398" s="244"/>
      <c r="I398" s="96"/>
      <c r="J398" s="472"/>
      <c r="K398" s="473"/>
      <c r="L398" s="99"/>
      <c r="M398" s="473"/>
      <c r="N398" s="99"/>
      <c r="O398" s="100"/>
      <c r="P398" s="474"/>
      <c r="Q398" s="475"/>
      <c r="R398" s="476"/>
      <c r="S398" s="473"/>
      <c r="T398" s="477"/>
      <c r="U398" s="478"/>
      <c r="V398" s="472"/>
      <c r="W398" s="479"/>
      <c r="X398" s="480"/>
      <c r="Y398" s="125">
        <f t="shared" si="206"/>
        <v>0</v>
      </c>
      <c r="Z398" s="126">
        <f t="shared" si="208"/>
        <v>0</v>
      </c>
      <c r="AA398" s="481">
        <f>SUM(AA261:AA397)</f>
        <v>501309326.661699</v>
      </c>
    </row>
    <row r="399" spans="1:27" s="291" customFormat="1" ht="15" customHeight="1">
      <c r="A399" s="482"/>
      <c r="B399" s="483"/>
      <c r="C399" s="443"/>
      <c r="D399" s="484" t="s">
        <v>312</v>
      </c>
      <c r="E399" s="485" t="s">
        <v>311</v>
      </c>
      <c r="F399" s="486"/>
      <c r="G399" s="257"/>
      <c r="H399" s="258"/>
      <c r="I399" s="103"/>
      <c r="J399" s="322"/>
      <c r="K399" s="323"/>
      <c r="L399" s="99"/>
      <c r="M399" s="323"/>
      <c r="N399" s="99"/>
      <c r="O399" s="100"/>
      <c r="P399" s="325"/>
      <c r="Q399" s="487"/>
      <c r="R399" s="488"/>
      <c r="S399" s="323"/>
      <c r="T399" s="324"/>
      <c r="U399" s="326"/>
      <c r="V399" s="322"/>
      <c r="W399" s="397"/>
      <c r="X399" s="327"/>
      <c r="Y399" s="125">
        <f t="shared" si="206"/>
        <v>0</v>
      </c>
      <c r="Z399" s="126">
        <f t="shared" si="208"/>
        <v>0</v>
      </c>
      <c r="AA399" s="481"/>
    </row>
    <row r="400" spans="1:26" s="291" customFormat="1" ht="15" customHeight="1">
      <c r="A400" s="482"/>
      <c r="B400" s="483"/>
      <c r="C400" s="443"/>
      <c r="D400" s="484" t="s">
        <v>313</v>
      </c>
      <c r="E400" s="485" t="s">
        <v>311</v>
      </c>
      <c r="F400" s="486"/>
      <c r="G400" s="257"/>
      <c r="H400" s="258"/>
      <c r="I400" s="103"/>
      <c r="J400" s="260"/>
      <c r="K400" s="262"/>
      <c r="L400" s="99"/>
      <c r="M400" s="262"/>
      <c r="N400" s="99"/>
      <c r="O400" s="100"/>
      <c r="P400" s="119"/>
      <c r="Q400" s="263"/>
      <c r="R400" s="261"/>
      <c r="S400" s="262"/>
      <c r="T400" s="489"/>
      <c r="U400" s="490"/>
      <c r="V400" s="260"/>
      <c r="W400" s="491"/>
      <c r="X400" s="492"/>
      <c r="Y400" s="125">
        <f t="shared" si="206"/>
        <v>0</v>
      </c>
      <c r="Z400" s="126">
        <f t="shared" si="208"/>
        <v>0</v>
      </c>
    </row>
    <row r="401" spans="1:27" s="291" customFormat="1" ht="15" customHeight="1">
      <c r="A401" s="482"/>
      <c r="B401" s="483"/>
      <c r="C401" s="443"/>
      <c r="D401" s="484" t="s">
        <v>314</v>
      </c>
      <c r="E401" s="485" t="s">
        <v>311</v>
      </c>
      <c r="F401" s="486">
        <v>16</v>
      </c>
      <c r="G401" s="257"/>
      <c r="H401" s="116">
        <f>+H397*16/100</f>
        <v>214811779.74719998</v>
      </c>
      <c r="I401" s="103"/>
      <c r="J401" s="260">
        <f>+J397*0.16</f>
        <v>78173682.08</v>
      </c>
      <c r="K401" s="262"/>
      <c r="L401" s="260">
        <f>+L397*0.16</f>
        <v>0</v>
      </c>
      <c r="M401" s="262"/>
      <c r="N401" s="260">
        <f>+N397*0.16</f>
        <v>25938580</v>
      </c>
      <c r="O401" s="262"/>
      <c r="P401" s="493"/>
      <c r="Q401" s="260">
        <f>+Q397*0.16</f>
        <v>49054044.36361179</v>
      </c>
      <c r="R401" s="262"/>
      <c r="S401" s="260">
        <f>+S397*0.16</f>
        <v>3181057.7387882136</v>
      </c>
      <c r="T401" s="489"/>
      <c r="U401" s="490"/>
      <c r="V401" s="260">
        <f>+V397*0.16</f>
        <v>78173682.0416</v>
      </c>
      <c r="W401" s="491"/>
      <c r="X401" s="260">
        <f>+X397*0.16</f>
        <v>0</v>
      </c>
      <c r="Y401" s="125">
        <f t="shared" si="206"/>
        <v>0.03839999437332153</v>
      </c>
      <c r="Z401" s="126">
        <f t="shared" si="208"/>
        <v>-0.03839999437332153</v>
      </c>
      <c r="AA401" s="481"/>
    </row>
    <row r="402" spans="1:26" s="291" customFormat="1" ht="15" customHeight="1">
      <c r="A402" s="482"/>
      <c r="B402" s="483"/>
      <c r="C402" s="443"/>
      <c r="D402" s="665" t="s">
        <v>393</v>
      </c>
      <c r="E402" s="665"/>
      <c r="F402" s="494"/>
      <c r="G402" s="495"/>
      <c r="H402" s="496">
        <f>+H401+H397</f>
        <v>1557385403.1671999</v>
      </c>
      <c r="I402" s="497"/>
      <c r="J402" s="496">
        <f>+ROUND((J401+J397),0)</f>
        <v>566759195</v>
      </c>
      <c r="K402" s="498"/>
      <c r="L402" s="496">
        <f>+ROUND((L401+L397),0)</f>
        <v>0</v>
      </c>
      <c r="M402" s="498"/>
      <c r="N402" s="496">
        <f>+ROUND((N401+N397),0)</f>
        <v>188054705</v>
      </c>
      <c r="O402" s="498"/>
      <c r="P402" s="499"/>
      <c r="Q402" s="496">
        <f>+Q401+Q397</f>
        <v>355641821.6361854</v>
      </c>
      <c r="R402" s="498"/>
      <c r="S402" s="496">
        <f>+S401+S397</f>
        <v>23062668.60621455</v>
      </c>
      <c r="T402" s="500"/>
      <c r="U402" s="501"/>
      <c r="V402" s="496">
        <f>+V401+V397</f>
        <v>566759194.8016</v>
      </c>
      <c r="W402" s="502"/>
      <c r="X402" s="496">
        <f>+X401+X397</f>
        <v>0</v>
      </c>
      <c r="Y402" s="125">
        <f t="shared" si="206"/>
        <v>0.19840002059936523</v>
      </c>
      <c r="Z402" s="126">
        <f t="shared" si="208"/>
        <v>-0.19840002059936523</v>
      </c>
    </row>
    <row r="403" spans="1:26" s="291" customFormat="1" ht="15" customHeight="1">
      <c r="A403" s="666"/>
      <c r="B403" s="667"/>
      <c r="C403" s="668"/>
      <c r="D403" s="672" t="s">
        <v>394</v>
      </c>
      <c r="E403" s="674"/>
      <c r="F403" s="675"/>
      <c r="G403" s="678"/>
      <c r="H403" s="679"/>
      <c r="I403" s="660"/>
      <c r="J403" s="649">
        <f>ROUND((J402+J258),0)</f>
        <v>2020801309</v>
      </c>
      <c r="K403" s="503"/>
      <c r="L403" s="649">
        <f>ROUND((L402+L258),0)</f>
        <v>309603977</v>
      </c>
      <c r="M403" s="503"/>
      <c r="N403" s="649">
        <f>ROUND((N402+N258),0)</f>
        <v>1063890919</v>
      </c>
      <c r="O403" s="503"/>
      <c r="P403" s="692"/>
      <c r="Q403" s="658">
        <f>ROUND((Q402+Q258),0)</f>
        <v>451542942</v>
      </c>
      <c r="R403" s="504"/>
      <c r="S403" s="658">
        <f>+S402+S258</f>
        <v>202082330.89901456</v>
      </c>
      <c r="T403" s="651"/>
      <c r="U403" s="505"/>
      <c r="V403" s="649">
        <f>ROUND((V402+V258),0)</f>
        <v>2020801309</v>
      </c>
      <c r="W403" s="651"/>
      <c r="X403" s="658">
        <f>ROUND((X402+X258),0)</f>
        <v>0</v>
      </c>
      <c r="Y403" s="125">
        <f>+J403-V403</f>
        <v>0</v>
      </c>
      <c r="Z403" s="195">
        <f>+X403-Y403</f>
        <v>0</v>
      </c>
    </row>
    <row r="404" spans="1:26" s="291" customFormat="1" ht="8.25" customHeight="1" thickBot="1">
      <c r="A404" s="669"/>
      <c r="B404" s="670"/>
      <c r="C404" s="671"/>
      <c r="D404" s="673"/>
      <c r="E404" s="676"/>
      <c r="F404" s="677"/>
      <c r="G404" s="680"/>
      <c r="H404" s="681"/>
      <c r="I404" s="661"/>
      <c r="J404" s="650"/>
      <c r="K404" s="506"/>
      <c r="L404" s="650"/>
      <c r="M404" s="506"/>
      <c r="N404" s="650"/>
      <c r="O404" s="506"/>
      <c r="P404" s="693"/>
      <c r="Q404" s="659"/>
      <c r="R404" s="507"/>
      <c r="S404" s="659"/>
      <c r="T404" s="652"/>
      <c r="U404" s="508"/>
      <c r="V404" s="650"/>
      <c r="W404" s="652"/>
      <c r="X404" s="659"/>
      <c r="Y404" s="125">
        <f>+J404-V404</f>
        <v>0</v>
      </c>
      <c r="Z404" s="126"/>
    </row>
    <row r="405" spans="1:25" s="291" customFormat="1" ht="7.5" customHeight="1" thickBot="1">
      <c r="A405" s="275"/>
      <c r="B405" s="276"/>
      <c r="C405" s="277"/>
      <c r="D405" s="292"/>
      <c r="E405" s="239"/>
      <c r="F405" s="239"/>
      <c r="G405" s="293"/>
      <c r="H405" s="239"/>
      <c r="I405" s="293"/>
      <c r="J405" s="293"/>
      <c r="K405" s="293"/>
      <c r="L405" s="293"/>
      <c r="M405" s="293"/>
      <c r="N405" s="293"/>
      <c r="O405" s="293"/>
      <c r="P405" s="294"/>
      <c r="Q405" s="293"/>
      <c r="R405" s="293"/>
      <c r="S405" s="293"/>
      <c r="T405" s="294"/>
      <c r="U405" s="295"/>
      <c r="V405" s="293"/>
      <c r="W405" s="294"/>
      <c r="X405" s="296"/>
      <c r="Y405" s="71"/>
    </row>
    <row r="406" spans="1:25" s="291" customFormat="1" ht="12" customHeight="1">
      <c r="A406" s="275"/>
      <c r="B406" s="276"/>
      <c r="C406" s="277"/>
      <c r="D406" s="687" t="s">
        <v>395</v>
      </c>
      <c r="E406" s="688"/>
      <c r="F406" s="688"/>
      <c r="G406" s="688"/>
      <c r="H406" s="688"/>
      <c r="I406" s="689">
        <f>+S403</f>
        <v>202082330.89901456</v>
      </c>
      <c r="J406" s="690"/>
      <c r="K406" s="690"/>
      <c r="L406" s="690"/>
      <c r="M406" s="690"/>
      <c r="N406" s="690"/>
      <c r="O406" s="690"/>
      <c r="P406" s="691"/>
      <c r="Q406" s="293"/>
      <c r="R406" s="293"/>
      <c r="S406" s="293"/>
      <c r="T406" s="294"/>
      <c r="U406" s="295"/>
      <c r="V406" s="293"/>
      <c r="W406" s="294"/>
      <c r="X406" s="296"/>
      <c r="Y406" s="71"/>
    </row>
    <row r="407" spans="1:27" s="291" customFormat="1" ht="12" customHeight="1">
      <c r="A407" s="275"/>
      <c r="B407" s="276"/>
      <c r="C407" s="277"/>
      <c r="D407" s="701" t="s">
        <v>396</v>
      </c>
      <c r="E407" s="702"/>
      <c r="F407" s="702"/>
      <c r="G407" s="702"/>
      <c r="H407" s="702"/>
      <c r="I407" s="703" t="s">
        <v>397</v>
      </c>
      <c r="J407" s="703"/>
      <c r="K407" s="704"/>
      <c r="L407" s="704"/>
      <c r="M407" s="704"/>
      <c r="N407" s="704"/>
      <c r="O407" s="704"/>
      <c r="P407" s="705"/>
      <c r="Q407" s="293"/>
      <c r="R407" s="293"/>
      <c r="S407" s="293"/>
      <c r="T407" s="294"/>
      <c r="U407" s="295"/>
      <c r="V407" s="293"/>
      <c r="W407" s="294"/>
      <c r="X407" s="296"/>
      <c r="Y407" s="71"/>
      <c r="Z407" s="291">
        <f>+V403/J403</f>
        <v>1</v>
      </c>
      <c r="AA407" s="291">
        <f>+X403/J403</f>
        <v>0</v>
      </c>
    </row>
    <row r="408" spans="1:25" s="291" customFormat="1" ht="12" customHeight="1">
      <c r="A408" s="275"/>
      <c r="B408" s="276"/>
      <c r="C408" s="277"/>
      <c r="D408" s="701" t="s">
        <v>31</v>
      </c>
      <c r="E408" s="702"/>
      <c r="F408" s="702"/>
      <c r="G408" s="702"/>
      <c r="H408" s="702"/>
      <c r="I408" s="682">
        <f>+I406</f>
        <v>202082330.89901456</v>
      </c>
      <c r="J408" s="683"/>
      <c r="K408" s="683"/>
      <c r="L408" s="683"/>
      <c r="M408" s="683"/>
      <c r="N408" s="683"/>
      <c r="O408" s="683"/>
      <c r="P408" s="684"/>
      <c r="Q408" s="293"/>
      <c r="R408" s="293"/>
      <c r="S408" s="293"/>
      <c r="T408" s="294"/>
      <c r="U408" s="295"/>
      <c r="V408" s="509">
        <v>92881193.04</v>
      </c>
      <c r="W408" s="294"/>
      <c r="X408" s="296"/>
      <c r="Y408" s="71"/>
    </row>
    <row r="409" spans="1:29" s="291" customFormat="1" ht="11.25" customHeight="1">
      <c r="A409" s="275"/>
      <c r="B409" s="276"/>
      <c r="C409" s="277"/>
      <c r="D409" s="701" t="s">
        <v>398</v>
      </c>
      <c r="E409" s="702"/>
      <c r="F409" s="702"/>
      <c r="G409" s="702"/>
      <c r="H409" s="702"/>
      <c r="I409" s="682"/>
      <c r="J409" s="683"/>
      <c r="K409" s="683"/>
      <c r="L409" s="683"/>
      <c r="M409" s="683"/>
      <c r="N409" s="683"/>
      <c r="O409" s="683"/>
      <c r="P409" s="684"/>
      <c r="Q409" s="293"/>
      <c r="R409" s="293"/>
      <c r="S409" s="293"/>
      <c r="T409" s="294"/>
      <c r="U409" s="295"/>
      <c r="V409" s="509">
        <f>+V408+I409</f>
        <v>92881193.04</v>
      </c>
      <c r="W409" s="294"/>
      <c r="X409" s="296"/>
      <c r="Y409" s="510">
        <f>+H258</f>
        <v>1557385403.1671999</v>
      </c>
      <c r="AC409" s="291" t="s">
        <v>399</v>
      </c>
    </row>
    <row r="410" spans="1:25" s="291" customFormat="1" ht="9" customHeight="1">
      <c r="A410" s="275"/>
      <c r="B410" s="276"/>
      <c r="C410" s="277"/>
      <c r="D410" s="701" t="s">
        <v>400</v>
      </c>
      <c r="E410" s="702"/>
      <c r="F410" s="702"/>
      <c r="G410" s="702"/>
      <c r="H410" s="702"/>
      <c r="I410" s="682"/>
      <c r="J410" s="683"/>
      <c r="K410" s="683"/>
      <c r="L410" s="683"/>
      <c r="M410" s="683"/>
      <c r="N410" s="683"/>
      <c r="O410" s="683"/>
      <c r="P410" s="684"/>
      <c r="Q410" s="293"/>
      <c r="R410" s="293"/>
      <c r="S410" s="293"/>
      <c r="T410" s="294"/>
      <c r="U410" s="295"/>
      <c r="V410" s="509"/>
      <c r="W410" s="294"/>
      <c r="X410" s="296"/>
      <c r="Y410" s="510"/>
    </row>
    <row r="411" spans="1:28" s="291" customFormat="1" ht="12.75" customHeight="1" thickBot="1">
      <c r="A411" s="275"/>
      <c r="B411" s="276"/>
      <c r="C411" s="277"/>
      <c r="D411" s="685" t="s">
        <v>401</v>
      </c>
      <c r="E411" s="686"/>
      <c r="F411" s="686"/>
      <c r="G411" s="686"/>
      <c r="H411" s="686"/>
      <c r="I411" s="694">
        <f>+I408-I409-I410</f>
        <v>202082330.89901456</v>
      </c>
      <c r="J411" s="695"/>
      <c r="K411" s="695"/>
      <c r="L411" s="695"/>
      <c r="M411" s="695"/>
      <c r="N411" s="695"/>
      <c r="O411" s="695"/>
      <c r="P411" s="696"/>
      <c r="Q411" s="293"/>
      <c r="R411" s="293"/>
      <c r="S411" s="293"/>
      <c r="T411" s="294"/>
      <c r="U411" s="295"/>
      <c r="V411" s="293"/>
      <c r="W411" s="294"/>
      <c r="X411" s="296"/>
      <c r="Y411" s="510">
        <f>+Y409*0.3</f>
        <v>467215620.95015997</v>
      </c>
      <c r="AB411" s="291" t="s">
        <v>402</v>
      </c>
    </row>
    <row r="412" spans="1:30" s="291" customFormat="1" ht="13.5">
      <c r="A412" s="275"/>
      <c r="B412" s="276"/>
      <c r="C412" s="277"/>
      <c r="D412" s="511" t="s">
        <v>403</v>
      </c>
      <c r="E412" s="512" t="s">
        <v>404</v>
      </c>
      <c r="F412" s="513"/>
      <c r="G412" s="514"/>
      <c r="H412" s="513"/>
      <c r="I412" s="514"/>
      <c r="J412" s="514"/>
      <c r="K412" s="514"/>
      <c r="L412" s="514"/>
      <c r="M412" s="514"/>
      <c r="N412" s="514"/>
      <c r="O412" s="514"/>
      <c r="P412" s="515"/>
      <c r="Q412" s="514"/>
      <c r="R412" s="514"/>
      <c r="S412" s="514"/>
      <c r="T412" s="515"/>
      <c r="U412" s="516"/>
      <c r="V412" s="514"/>
      <c r="W412" s="515"/>
      <c r="X412" s="517"/>
      <c r="Y412" s="510">
        <f>+V409-Y411</f>
        <v>-374334427.91015995</v>
      </c>
      <c r="AB412" s="518">
        <f>+H258*0.3</f>
        <v>467215620.95015997</v>
      </c>
      <c r="AD412" s="291" t="s">
        <v>405</v>
      </c>
    </row>
    <row r="413" spans="1:30" s="291" customFormat="1" ht="13.5">
      <c r="A413" s="275"/>
      <c r="B413" s="276"/>
      <c r="C413" s="277"/>
      <c r="D413" s="519"/>
      <c r="E413" s="239"/>
      <c r="F413" s="239"/>
      <c r="G413" s="293"/>
      <c r="H413" s="239"/>
      <c r="I413" s="293"/>
      <c r="J413" s="293"/>
      <c r="K413" s="293"/>
      <c r="L413" s="293"/>
      <c r="M413" s="293"/>
      <c r="N413" s="293"/>
      <c r="O413" s="293"/>
      <c r="P413" s="294"/>
      <c r="Q413" s="293"/>
      <c r="R413" s="293"/>
      <c r="S413" s="293"/>
      <c r="T413" s="294"/>
      <c r="U413" s="295"/>
      <c r="V413" s="293"/>
      <c r="W413" s="294"/>
      <c r="X413" s="296"/>
      <c r="Y413" s="520">
        <f>+I409-Y412</f>
        <v>374334427.91015995</v>
      </c>
      <c r="AC413" s="481">
        <v>92881193.04</v>
      </c>
      <c r="AD413" s="291" t="s">
        <v>406</v>
      </c>
    </row>
    <row r="414" spans="1:30" s="291" customFormat="1" ht="13.5">
      <c r="A414" s="275"/>
      <c r="B414" s="276"/>
      <c r="C414" s="277"/>
      <c r="D414" s="519"/>
      <c r="E414" s="239"/>
      <c r="F414" s="239"/>
      <c r="G414" s="293"/>
      <c r="H414" s="239"/>
      <c r="I414" s="293"/>
      <c r="J414" s="293"/>
      <c r="K414" s="293"/>
      <c r="L414" s="293"/>
      <c r="M414" s="293"/>
      <c r="N414" s="293"/>
      <c r="O414" s="293"/>
      <c r="P414" s="294"/>
      <c r="Q414" s="293"/>
      <c r="R414" s="293"/>
      <c r="S414" s="293"/>
      <c r="T414" s="294"/>
      <c r="U414" s="295"/>
      <c r="V414" s="293"/>
      <c r="W414" s="294"/>
      <c r="X414" s="296"/>
      <c r="Y414" s="520">
        <f>+Y413+V408</f>
        <v>467215620.95015997</v>
      </c>
      <c r="Z414" s="521">
        <f>+Y414-Y417-I409</f>
        <v>374334427.91015995</v>
      </c>
      <c r="AA414" s="522" t="s">
        <v>407</v>
      </c>
      <c r="AC414" s="481">
        <v>319167275.5</v>
      </c>
      <c r="AD414" s="291" t="s">
        <v>408</v>
      </c>
    </row>
    <row r="415" spans="1:30" s="291" customFormat="1" ht="10.5" customHeight="1">
      <c r="A415" s="275"/>
      <c r="B415" s="276"/>
      <c r="C415" s="277"/>
      <c r="D415" s="292"/>
      <c r="E415" s="239"/>
      <c r="F415" s="239"/>
      <c r="G415" s="293"/>
      <c r="H415" s="239"/>
      <c r="I415" s="293"/>
      <c r="J415" s="293"/>
      <c r="K415" s="293"/>
      <c r="L415" s="293"/>
      <c r="M415" s="293"/>
      <c r="N415" s="293"/>
      <c r="O415" s="293"/>
      <c r="P415" s="294"/>
      <c r="Q415" s="293"/>
      <c r="R415" s="293"/>
      <c r="S415" s="293"/>
      <c r="T415" s="294"/>
      <c r="U415" s="295"/>
      <c r="V415" s="293"/>
      <c r="W415" s="294"/>
      <c r="X415" s="296"/>
      <c r="Y415" s="71"/>
      <c r="AB415" s="518">
        <f>463415905.57*0.3</f>
        <v>139024771.671</v>
      </c>
      <c r="AD415" s="291" t="s">
        <v>409</v>
      </c>
    </row>
    <row r="416" spans="1:29" s="529" customFormat="1" ht="13.5">
      <c r="A416" s="697" t="s">
        <v>410</v>
      </c>
      <c r="B416" s="698"/>
      <c r="C416" s="698"/>
      <c r="D416" s="698"/>
      <c r="E416" s="523"/>
      <c r="F416" s="523"/>
      <c r="G416" s="524"/>
      <c r="H416" s="523"/>
      <c r="I416" s="524"/>
      <c r="J416" s="276" t="s">
        <v>411</v>
      </c>
      <c r="K416" s="276"/>
      <c r="L416" s="276"/>
      <c r="M416" s="276"/>
      <c r="N416" s="276"/>
      <c r="O416" s="276"/>
      <c r="P416" s="276"/>
      <c r="Q416" s="276"/>
      <c r="R416" s="525"/>
      <c r="S416" s="525"/>
      <c r="T416" s="526"/>
      <c r="U416" s="527"/>
      <c r="V416" s="524"/>
      <c r="W416" s="526"/>
      <c r="X416" s="528"/>
      <c r="Y416" s="520">
        <f>+I406*0.3</f>
        <v>60624699.269704364</v>
      </c>
      <c r="AC416" s="481">
        <f>SUM(AC413:AC415)</f>
        <v>412048468.54</v>
      </c>
    </row>
    <row r="417" spans="1:30" s="529" customFormat="1" ht="13.5">
      <c r="A417" s="699" t="s">
        <v>412</v>
      </c>
      <c r="B417" s="700"/>
      <c r="C417" s="700"/>
      <c r="D417" s="700"/>
      <c r="E417" s="530"/>
      <c r="F417" s="530"/>
      <c r="G417" s="531"/>
      <c r="H417" s="530"/>
      <c r="I417" s="531"/>
      <c r="J417" s="532" t="s">
        <v>413</v>
      </c>
      <c r="K417" s="276"/>
      <c r="L417" s="276"/>
      <c r="M417" s="276"/>
      <c r="N417" s="276"/>
      <c r="O417" s="276"/>
      <c r="P417" s="276"/>
      <c r="Q417" s="276"/>
      <c r="R417" s="525"/>
      <c r="S417" s="525"/>
      <c r="T417" s="533"/>
      <c r="U417" s="534"/>
      <c r="V417" s="531"/>
      <c r="W417" s="533"/>
      <c r="X417" s="535"/>
      <c r="Y417" s="520">
        <v>92881193.04</v>
      </c>
      <c r="Z417" s="536">
        <f>+J403-H258</f>
        <v>463415905.83280015</v>
      </c>
      <c r="AB417" s="537">
        <f>SUM(AB412:AB415)</f>
        <v>606240392.62116</v>
      </c>
      <c r="AD417" s="529" t="s">
        <v>414</v>
      </c>
    </row>
    <row r="418" spans="1:29" s="529" customFormat="1" ht="13.5">
      <c r="A418" s="538"/>
      <c r="B418" s="525"/>
      <c r="C418" s="525"/>
      <c r="D418" s="525"/>
      <c r="E418" s="530"/>
      <c r="F418" s="530"/>
      <c r="G418" s="531"/>
      <c r="H418" s="530"/>
      <c r="I418" s="531"/>
      <c r="J418" s="532" t="s">
        <v>415</v>
      </c>
      <c r="K418" s="276"/>
      <c r="L418" s="276"/>
      <c r="M418" s="276"/>
      <c r="N418" s="276"/>
      <c r="O418" s="276"/>
      <c r="P418" s="276"/>
      <c r="Q418" s="276"/>
      <c r="R418" s="525"/>
      <c r="S418" s="525"/>
      <c r="T418" s="533"/>
      <c r="U418" s="534"/>
      <c r="V418" s="531"/>
      <c r="W418" s="533"/>
      <c r="X418" s="535"/>
      <c r="Y418" s="520">
        <f>+Y417+Y416</f>
        <v>153505892.30970436</v>
      </c>
      <c r="AC418" s="539">
        <f>+AC413+AC414</f>
        <v>412048468.54</v>
      </c>
    </row>
    <row r="419" spans="1:30" s="529" customFormat="1" ht="13.5">
      <c r="A419" s="538"/>
      <c r="B419" s="525"/>
      <c r="C419" s="525"/>
      <c r="D419" s="525"/>
      <c r="E419" s="523"/>
      <c r="F419" s="523"/>
      <c r="G419" s="524"/>
      <c r="H419" s="523"/>
      <c r="I419" s="524"/>
      <c r="J419" s="540"/>
      <c r="K419" s="540"/>
      <c r="L419" s="540"/>
      <c r="M419" s="540"/>
      <c r="N419" s="540"/>
      <c r="O419" s="540"/>
      <c r="P419" s="525"/>
      <c r="Q419" s="540"/>
      <c r="R419" s="540"/>
      <c r="S419" s="540"/>
      <c r="T419" s="533"/>
      <c r="U419" s="534"/>
      <c r="V419" s="531"/>
      <c r="W419" s="533"/>
      <c r="X419" s="535"/>
      <c r="Y419" s="541">
        <f>+Y414-Y418</f>
        <v>313709728.6404556</v>
      </c>
      <c r="AB419" s="542">
        <f>+AB417-AC418</f>
        <v>194191924.08116</v>
      </c>
      <c r="AD419" s="529" t="s">
        <v>416</v>
      </c>
    </row>
    <row r="420" spans="1:26" s="529" customFormat="1" ht="13.5">
      <c r="A420" s="538" t="s">
        <v>417</v>
      </c>
      <c r="B420" s="525"/>
      <c r="C420" s="543"/>
      <c r="D420" s="543"/>
      <c r="E420" s="530"/>
      <c r="F420" s="530"/>
      <c r="G420" s="531"/>
      <c r="H420" s="530"/>
      <c r="I420" s="531"/>
      <c r="J420" s="293"/>
      <c r="K420" s="293"/>
      <c r="L420" s="293"/>
      <c r="M420" s="293"/>
      <c r="N420" s="293"/>
      <c r="O420" s="293"/>
      <c r="P420" s="544"/>
      <c r="Q420" s="293"/>
      <c r="R420" s="293"/>
      <c r="S420" s="293"/>
      <c r="T420" s="533"/>
      <c r="U420" s="534"/>
      <c r="V420" s="531"/>
      <c r="W420" s="533"/>
      <c r="X420" s="535"/>
      <c r="Z420" s="545">
        <f>+H258</f>
        <v>1557385403.1671999</v>
      </c>
    </row>
    <row r="421" spans="1:26" s="529" customFormat="1" ht="14.25" thickBot="1">
      <c r="A421" s="546" t="s">
        <v>418</v>
      </c>
      <c r="B421" s="547"/>
      <c r="C421" s="548"/>
      <c r="D421" s="549"/>
      <c r="E421" s="550"/>
      <c r="F421" s="550"/>
      <c r="G421" s="551"/>
      <c r="H421" s="550"/>
      <c r="I421" s="551"/>
      <c r="J421" s="552"/>
      <c r="K421" s="552"/>
      <c r="L421" s="552"/>
      <c r="M421" s="552"/>
      <c r="N421" s="552"/>
      <c r="O421" s="552"/>
      <c r="P421" s="553"/>
      <c r="Q421" s="552"/>
      <c r="R421" s="552"/>
      <c r="S421" s="552"/>
      <c r="T421" s="554"/>
      <c r="U421" s="555"/>
      <c r="V421" s="551"/>
      <c r="W421" s="554"/>
      <c r="X421" s="556"/>
      <c r="Z421" s="545">
        <f>+Z420*0.1</f>
        <v>155738540.31671998</v>
      </c>
    </row>
    <row r="422" spans="1:26" s="529" customFormat="1" ht="13.5" customHeight="1">
      <c r="A422" s="530"/>
      <c r="B422" s="530"/>
      <c r="C422" s="530"/>
      <c r="D422" s="530"/>
      <c r="E422" s="530"/>
      <c r="F422" s="530"/>
      <c r="G422" s="531"/>
      <c r="H422" s="530"/>
      <c r="I422" s="531"/>
      <c r="J422" s="531"/>
      <c r="K422" s="531"/>
      <c r="L422" s="531"/>
      <c r="M422" s="531"/>
      <c r="N422" s="531"/>
      <c r="O422" s="531"/>
      <c r="P422" s="533"/>
      <c r="Q422" s="531"/>
      <c r="R422" s="531"/>
      <c r="S422" s="531"/>
      <c r="T422" s="533"/>
      <c r="U422" s="534"/>
      <c r="V422" s="531"/>
      <c r="W422" s="533"/>
      <c r="X422" s="533"/>
      <c r="Z422" s="545">
        <f>+Z420-Z421</f>
        <v>1401646862.8504798</v>
      </c>
    </row>
    <row r="423" spans="1:26" s="529" customFormat="1" ht="13.5" customHeight="1">
      <c r="A423" s="532"/>
      <c r="B423" s="532"/>
      <c r="C423" s="557"/>
      <c r="D423" s="558"/>
      <c r="E423" s="530"/>
      <c r="F423" s="530"/>
      <c r="G423" s="531"/>
      <c r="H423" s="530"/>
      <c r="I423" s="531"/>
      <c r="J423" s="531"/>
      <c r="K423" s="531"/>
      <c r="L423" s="531"/>
      <c r="M423" s="531"/>
      <c r="N423" s="531"/>
      <c r="O423" s="531"/>
      <c r="P423" s="533"/>
      <c r="Q423" s="531">
        <f>+N426/1.16</f>
        <v>-168761612.9310345</v>
      </c>
      <c r="R423" s="531"/>
      <c r="S423" s="531"/>
      <c r="T423" s="533"/>
      <c r="U423" s="534"/>
      <c r="V423" s="531"/>
      <c r="W423" s="533"/>
      <c r="X423" s="533"/>
      <c r="Z423" s="545">
        <f>+Z422-V403</f>
        <v>-619154446.1495202</v>
      </c>
    </row>
    <row r="424" spans="14:26" ht="12.75">
      <c r="N424" s="560">
        <f>+L403+N403+Q403</f>
        <v>1825037838</v>
      </c>
      <c r="X424" s="561">
        <v>90</v>
      </c>
      <c r="Y424" s="562">
        <f>+J403*0.9</f>
        <v>1818721178.1000001</v>
      </c>
      <c r="Z424" s="39">
        <f>+V403/J403*100</f>
        <v>100</v>
      </c>
    </row>
    <row r="425" spans="14:28" ht="12.75">
      <c r="N425" s="560">
        <f>+J403</f>
        <v>2020801309</v>
      </c>
      <c r="W425" s="561" t="s">
        <v>419</v>
      </c>
      <c r="X425" s="561">
        <v>10</v>
      </c>
      <c r="Y425" s="562">
        <f>+J403-Y424</f>
        <v>202080130.89999986</v>
      </c>
      <c r="Z425" s="39">
        <f>100-Z424</f>
        <v>0</v>
      </c>
      <c r="AA425" s="563">
        <f>+I406-Y425-I409</f>
        <v>2199.9990147054195</v>
      </c>
      <c r="AB425" s="564" t="s">
        <v>420</v>
      </c>
    </row>
    <row r="426" ht="12.75">
      <c r="N426" s="560">
        <f>+N424-N425</f>
        <v>-195763471</v>
      </c>
    </row>
    <row r="427" spans="23:25" ht="12.75">
      <c r="W427" s="561" t="s">
        <v>421</v>
      </c>
      <c r="Y427" s="562">
        <f>+Q403-Y425</f>
        <v>249462811.10000014</v>
      </c>
    </row>
    <row r="429" spans="26:29" ht="12.75">
      <c r="Z429" s="565">
        <v>647306405.7595999</v>
      </c>
      <c r="AA429" s="566" t="s">
        <v>422</v>
      </c>
      <c r="AB429" s="567"/>
      <c r="AC429" s="567"/>
    </row>
    <row r="430" ht="12.75">
      <c r="Y430" s="568">
        <f>+Y425-X403</f>
        <v>202080130.89999986</v>
      </c>
    </row>
    <row r="431" ht="12.75">
      <c r="Y431" s="562">
        <f>+Y430/1.16</f>
        <v>174207009.3965516</v>
      </c>
    </row>
  </sheetData>
  <sheetProtection/>
  <mergeCells count="58">
    <mergeCell ref="I411:P411"/>
    <mergeCell ref="A416:D416"/>
    <mergeCell ref="A417:D417"/>
    <mergeCell ref="D407:H407"/>
    <mergeCell ref="I407:P407"/>
    <mergeCell ref="D408:H408"/>
    <mergeCell ref="I408:P408"/>
    <mergeCell ref="D409:H409"/>
    <mergeCell ref="I409:P409"/>
    <mergeCell ref="D410:H410"/>
    <mergeCell ref="I410:P410"/>
    <mergeCell ref="D411:H411"/>
    <mergeCell ref="X403:X404"/>
    <mergeCell ref="D406:H406"/>
    <mergeCell ref="I406:P406"/>
    <mergeCell ref="J403:J404"/>
    <mergeCell ref="L403:L404"/>
    <mergeCell ref="N403:N404"/>
    <mergeCell ref="P403:P404"/>
    <mergeCell ref="Q403:Q404"/>
    <mergeCell ref="S403:S404"/>
    <mergeCell ref="I403:I404"/>
    <mergeCell ref="D258:E258"/>
    <mergeCell ref="E260:X260"/>
    <mergeCell ref="D402:E402"/>
    <mergeCell ref="A403:C404"/>
    <mergeCell ref="D403:D404"/>
    <mergeCell ref="E403:F404"/>
    <mergeCell ref="G403:H404"/>
    <mergeCell ref="T403:T404"/>
    <mergeCell ref="V403:V404"/>
    <mergeCell ref="W403:W404"/>
    <mergeCell ref="D397:E397"/>
    <mergeCell ref="R15:S15"/>
    <mergeCell ref="T15:V15"/>
    <mergeCell ref="W15:X15"/>
    <mergeCell ref="D41:H41"/>
    <mergeCell ref="D64:H64"/>
    <mergeCell ref="D81:H81"/>
    <mergeCell ref="D99:H99"/>
    <mergeCell ref="D122:H122"/>
    <mergeCell ref="D253:E253"/>
    <mergeCell ref="A12:X14"/>
    <mergeCell ref="A15:A16"/>
    <mergeCell ref="B15:B16"/>
    <mergeCell ref="C15:C16"/>
    <mergeCell ref="D15:D16"/>
    <mergeCell ref="E15:H15"/>
    <mergeCell ref="I15:J15"/>
    <mergeCell ref="K15:L15"/>
    <mergeCell ref="M15:N15"/>
    <mergeCell ref="P15:Q15"/>
    <mergeCell ref="E7:X7"/>
    <mergeCell ref="A1:P4"/>
    <mergeCell ref="Q1:U2"/>
    <mergeCell ref="V1:X2"/>
    <mergeCell ref="Q3:U4"/>
    <mergeCell ref="V3:X4"/>
  </mergeCells>
  <printOptions horizontalCentered="1" verticalCentered="1"/>
  <pageMargins left="0" right="0" top="1.1023622047244095" bottom="0.6692913385826772" header="0.3937007874015748" footer="0.3937007874015748"/>
  <pageSetup horizontalDpi="300" verticalDpi="300" orientation="landscape" scale="69" r:id="rId3"/>
  <headerFooter alignWithMargins="0">
    <oddHeader>&amp;CPROYECTO CAMPUS NUEVA GRANADA&amp;G</oddHeader>
    <oddFooter>&amp;L&amp;8CAMNUG-R-026&amp;C&amp;8El uso no autorizado así como la reproducción total o parcial de su contenido por cualquier persona o entidad, estará en contra de los derechos de autor.&amp;R&amp;P  DE &amp;N</oddFooter>
  </headerFooter>
  <rowBreaks count="1" manualBreakCount="1">
    <brk id="426" max="255" man="1"/>
  </rowBreaks>
  <colBreaks count="1" manualBreakCount="1">
    <brk id="24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1"/>
  <sheetViews>
    <sheetView tabSelected="1" zoomScale="70" zoomScaleNormal="70" zoomScalePageLayoutView="0" workbookViewId="0" topLeftCell="B1">
      <selection activeCell="B1" sqref="B1:C1"/>
    </sheetView>
  </sheetViews>
  <sheetFormatPr defaultColWidth="11.421875" defaultRowHeight="15"/>
  <cols>
    <col min="1" max="1" width="5.421875" style="10" customWidth="1"/>
    <col min="2" max="2" width="5.8515625" style="10" bestFit="1" customWidth="1"/>
    <col min="3" max="3" width="7.00390625" style="569" bestFit="1" customWidth="1"/>
    <col min="4" max="4" width="10.421875" style="569" bestFit="1" customWidth="1"/>
    <col min="5" max="5" width="67.28125" style="1" customWidth="1"/>
    <col min="6" max="6" width="11.421875" style="1" customWidth="1"/>
    <col min="7" max="7" width="11.421875" style="580" customWidth="1"/>
    <col min="8" max="8" width="17.140625" style="16" bestFit="1" customWidth="1"/>
    <col min="9" max="9" width="20.140625" style="16" bestFit="1" customWidth="1"/>
    <col min="10" max="16384" width="11.421875" style="1" customWidth="1"/>
  </cols>
  <sheetData>
    <row r="1" spans="1:9" ht="18.75">
      <c r="A1" s="594" t="s">
        <v>259</v>
      </c>
      <c r="B1" s="594"/>
      <c r="C1" s="594"/>
      <c r="D1" s="594"/>
      <c r="E1" s="594"/>
      <c r="F1" s="594"/>
      <c r="G1" s="594"/>
      <c r="H1" s="594"/>
      <c r="I1" s="594"/>
    </row>
    <row r="2" ht="15.75" thickBot="1"/>
    <row r="3" spans="1:9" s="2" customFormat="1" ht="45.75" customHeight="1" thickBot="1">
      <c r="A3" s="34" t="s">
        <v>260</v>
      </c>
      <c r="B3" s="35" t="s">
        <v>262</v>
      </c>
      <c r="C3" s="571" t="s">
        <v>0</v>
      </c>
      <c r="D3" s="571" t="s">
        <v>558</v>
      </c>
      <c r="E3" s="35" t="s">
        <v>1</v>
      </c>
      <c r="F3" s="35" t="s">
        <v>2</v>
      </c>
      <c r="G3" s="581" t="s">
        <v>3</v>
      </c>
      <c r="H3" s="36" t="s">
        <v>4</v>
      </c>
      <c r="I3" s="597" t="s">
        <v>5</v>
      </c>
    </row>
    <row r="4" spans="1:9" s="2" customFormat="1" ht="15.75">
      <c r="A4" s="31">
        <v>1</v>
      </c>
      <c r="B4" s="32"/>
      <c r="C4" s="572"/>
      <c r="D4" s="572"/>
      <c r="E4" s="37" t="s">
        <v>261</v>
      </c>
      <c r="F4" s="32"/>
      <c r="G4" s="582"/>
      <c r="H4" s="33"/>
      <c r="I4" s="607"/>
    </row>
    <row r="5" spans="1:9" s="2" customFormat="1" ht="15">
      <c r="A5" s="17"/>
      <c r="B5" s="19">
        <v>1</v>
      </c>
      <c r="C5" s="573"/>
      <c r="D5" s="573"/>
      <c r="E5" s="18" t="s">
        <v>263</v>
      </c>
      <c r="F5" s="19"/>
      <c r="G5" s="583"/>
      <c r="H5" s="20"/>
      <c r="I5" s="598"/>
    </row>
    <row r="6" spans="1:9" ht="15">
      <c r="A6" s="25"/>
      <c r="B6" s="23"/>
      <c r="C6" s="574">
        <v>1.1</v>
      </c>
      <c r="D6" s="574" t="s">
        <v>604</v>
      </c>
      <c r="E6" s="26" t="s">
        <v>54</v>
      </c>
      <c r="F6" s="23" t="s">
        <v>2</v>
      </c>
      <c r="G6" s="584">
        <v>12</v>
      </c>
      <c r="H6" s="24"/>
      <c r="I6" s="599"/>
    </row>
    <row r="7" spans="1:9" ht="15">
      <c r="A7" s="28"/>
      <c r="B7" s="576"/>
      <c r="C7" s="574">
        <v>1.2</v>
      </c>
      <c r="D7" s="574" t="s">
        <v>600</v>
      </c>
      <c r="E7" s="26" t="s">
        <v>56</v>
      </c>
      <c r="F7" s="23" t="s">
        <v>2</v>
      </c>
      <c r="G7" s="584">
        <v>1</v>
      </c>
      <c r="H7" s="24"/>
      <c r="I7" s="599"/>
    </row>
    <row r="8" spans="1:9" ht="15">
      <c r="A8" s="25"/>
      <c r="B8" s="23"/>
      <c r="C8" s="574">
        <v>1.3</v>
      </c>
      <c r="D8" s="596" t="s">
        <v>611</v>
      </c>
      <c r="E8" s="26" t="s">
        <v>28</v>
      </c>
      <c r="F8" s="23" t="s">
        <v>2</v>
      </c>
      <c r="G8" s="584">
        <v>1</v>
      </c>
      <c r="H8" s="24"/>
      <c r="I8" s="599"/>
    </row>
    <row r="9" spans="1:9" ht="15">
      <c r="A9" s="28"/>
      <c r="B9" s="576"/>
      <c r="C9" s="574">
        <v>1.4</v>
      </c>
      <c r="D9" s="574" t="s">
        <v>613</v>
      </c>
      <c r="E9" s="26" t="s">
        <v>59</v>
      </c>
      <c r="F9" s="23" t="s">
        <v>2</v>
      </c>
      <c r="G9" s="584">
        <f>+G6*3</f>
        <v>36</v>
      </c>
      <c r="H9" s="24"/>
      <c r="I9" s="599"/>
    </row>
    <row r="10" spans="1:9" ht="15">
      <c r="A10" s="25"/>
      <c r="B10" s="23">
        <v>2</v>
      </c>
      <c r="C10" s="574"/>
      <c r="D10" s="574"/>
      <c r="E10" s="18" t="s">
        <v>264</v>
      </c>
      <c r="F10" s="23"/>
      <c r="G10" s="584"/>
      <c r="H10" s="24"/>
      <c r="I10" s="599"/>
    </row>
    <row r="11" spans="1:9" ht="15">
      <c r="A11" s="25"/>
      <c r="B11" s="23"/>
      <c r="C11" s="574" t="s">
        <v>33</v>
      </c>
      <c r="D11" s="574" t="s">
        <v>601</v>
      </c>
      <c r="E11" s="22" t="s">
        <v>34</v>
      </c>
      <c r="F11" s="23" t="s">
        <v>2</v>
      </c>
      <c r="G11" s="584">
        <v>20</v>
      </c>
      <c r="H11" s="24"/>
      <c r="I11" s="599"/>
    </row>
    <row r="12" spans="1:9" ht="15">
      <c r="A12" s="25"/>
      <c r="B12" s="23"/>
      <c r="C12" s="574" t="s">
        <v>35</v>
      </c>
      <c r="D12" s="574"/>
      <c r="E12" s="22" t="s">
        <v>36</v>
      </c>
      <c r="F12" s="23"/>
      <c r="G12" s="584"/>
      <c r="H12" s="24"/>
      <c r="I12" s="599"/>
    </row>
    <row r="13" spans="1:9" ht="15">
      <c r="A13" s="25"/>
      <c r="B13" s="23"/>
      <c r="C13" s="574" t="s">
        <v>37</v>
      </c>
      <c r="D13" s="596" t="s">
        <v>629</v>
      </c>
      <c r="E13" s="26" t="s">
        <v>38</v>
      </c>
      <c r="F13" s="23" t="s">
        <v>2</v>
      </c>
      <c r="G13" s="584">
        <v>1</v>
      </c>
      <c r="H13" s="24"/>
      <c r="I13" s="599"/>
    </row>
    <row r="14" spans="1:9" ht="15">
      <c r="A14" s="25"/>
      <c r="B14" s="23"/>
      <c r="C14" s="574" t="s">
        <v>39</v>
      </c>
      <c r="D14" s="574" t="s">
        <v>591</v>
      </c>
      <c r="E14" s="26" t="s">
        <v>19</v>
      </c>
      <c r="F14" s="23" t="s">
        <v>20</v>
      </c>
      <c r="G14" s="584">
        <f>ROUND(4.5*1.35,2)</f>
        <v>6.08</v>
      </c>
      <c r="H14" s="24"/>
      <c r="I14" s="599"/>
    </row>
    <row r="15" spans="1:9" ht="15">
      <c r="A15" s="25"/>
      <c r="B15" s="23"/>
      <c r="C15" s="574" t="s">
        <v>40</v>
      </c>
      <c r="D15" s="596" t="s">
        <v>611</v>
      </c>
      <c r="E15" s="22" t="s">
        <v>28</v>
      </c>
      <c r="F15" s="23" t="s">
        <v>2</v>
      </c>
      <c r="G15" s="584">
        <v>1</v>
      </c>
      <c r="H15" s="24"/>
      <c r="I15" s="599"/>
    </row>
    <row r="16" spans="1:9" ht="15">
      <c r="A16" s="25"/>
      <c r="B16" s="23"/>
      <c r="C16" s="574" t="s">
        <v>41</v>
      </c>
      <c r="D16" s="596" t="s">
        <v>612</v>
      </c>
      <c r="E16" s="22" t="s">
        <v>42</v>
      </c>
      <c r="F16" s="23" t="s">
        <v>2</v>
      </c>
      <c r="G16" s="584">
        <v>24</v>
      </c>
      <c r="H16" s="24"/>
      <c r="I16" s="599"/>
    </row>
    <row r="17" spans="1:9" s="9" customFormat="1" ht="15">
      <c r="A17" s="29"/>
      <c r="B17" s="577"/>
      <c r="C17" s="574">
        <v>2.5</v>
      </c>
      <c r="D17" s="596" t="s">
        <v>565</v>
      </c>
      <c r="E17" s="22" t="s">
        <v>423</v>
      </c>
      <c r="F17" s="30" t="s">
        <v>20</v>
      </c>
      <c r="G17" s="584">
        <f>7.4*3.5</f>
        <v>25.900000000000002</v>
      </c>
      <c r="H17" s="24"/>
      <c r="I17" s="599"/>
    </row>
    <row r="18" spans="1:9" ht="15">
      <c r="A18" s="25"/>
      <c r="B18" s="23"/>
      <c r="C18" s="574">
        <v>2.6</v>
      </c>
      <c r="D18" s="574" t="s">
        <v>571</v>
      </c>
      <c r="E18" s="26" t="s">
        <v>217</v>
      </c>
      <c r="F18" s="23" t="s">
        <v>2</v>
      </c>
      <c r="G18" s="584">
        <v>20</v>
      </c>
      <c r="H18" s="24"/>
      <c r="I18" s="599"/>
    </row>
    <row r="19" spans="1:9" s="2" customFormat="1" ht="15">
      <c r="A19" s="17"/>
      <c r="B19" s="19">
        <v>3</v>
      </c>
      <c r="C19" s="573"/>
      <c r="D19" s="573"/>
      <c r="E19" s="18" t="s">
        <v>424</v>
      </c>
      <c r="F19" s="19"/>
      <c r="G19" s="583"/>
      <c r="H19" s="20"/>
      <c r="I19" s="598"/>
    </row>
    <row r="20" spans="1:9" s="9" customFormat="1" ht="15">
      <c r="A20" s="29"/>
      <c r="B20" s="577"/>
      <c r="C20" s="574">
        <v>3.1</v>
      </c>
      <c r="D20" s="574" t="s">
        <v>565</v>
      </c>
      <c r="E20" s="22" t="s">
        <v>423</v>
      </c>
      <c r="F20" s="30" t="s">
        <v>20</v>
      </c>
      <c r="G20" s="584">
        <f>8.8*3.5+8.4*3.5+7.8*3.5</f>
        <v>87.5</v>
      </c>
      <c r="H20" s="24"/>
      <c r="I20" s="599"/>
    </row>
    <row r="21" spans="1:9" ht="15">
      <c r="A21" s="25"/>
      <c r="B21" s="23"/>
      <c r="C21" s="574">
        <v>3.2</v>
      </c>
      <c r="D21" s="574"/>
      <c r="E21" s="26" t="s">
        <v>85</v>
      </c>
      <c r="F21" s="23"/>
      <c r="G21" s="584"/>
      <c r="H21" s="24"/>
      <c r="I21" s="599"/>
    </row>
    <row r="22" spans="1:9" ht="15">
      <c r="A22" s="25"/>
      <c r="B22" s="23"/>
      <c r="C22" s="574" t="s">
        <v>425</v>
      </c>
      <c r="D22" s="596" t="s">
        <v>633</v>
      </c>
      <c r="E22" s="26" t="s">
        <v>114</v>
      </c>
      <c r="F22" s="23" t="s">
        <v>2</v>
      </c>
      <c r="G22" s="584">
        <v>1</v>
      </c>
      <c r="H22" s="24"/>
      <c r="I22" s="599"/>
    </row>
    <row r="23" spans="1:9" ht="15">
      <c r="A23" s="25"/>
      <c r="B23" s="23"/>
      <c r="C23" s="574">
        <v>3.3</v>
      </c>
      <c r="D23" s="574"/>
      <c r="E23" s="26" t="s">
        <v>101</v>
      </c>
      <c r="F23" s="23"/>
      <c r="G23" s="584"/>
      <c r="H23" s="24"/>
      <c r="I23" s="599"/>
    </row>
    <row r="24" spans="1:9" ht="15">
      <c r="A24" s="25"/>
      <c r="B24" s="23"/>
      <c r="C24" s="574" t="s">
        <v>426</v>
      </c>
      <c r="D24" s="596" t="s">
        <v>630</v>
      </c>
      <c r="E24" s="26" t="s">
        <v>103</v>
      </c>
      <c r="F24" s="23" t="s">
        <v>2</v>
      </c>
      <c r="G24" s="584">
        <v>1</v>
      </c>
      <c r="H24" s="24"/>
      <c r="I24" s="599"/>
    </row>
    <row r="25" spans="1:9" ht="15">
      <c r="A25" s="25"/>
      <c r="B25" s="23"/>
      <c r="C25" s="574">
        <v>3.4</v>
      </c>
      <c r="D25" s="574" t="s">
        <v>603</v>
      </c>
      <c r="E25" s="26" t="s">
        <v>106</v>
      </c>
      <c r="F25" s="23" t="s">
        <v>2</v>
      </c>
      <c r="G25" s="584">
        <v>2</v>
      </c>
      <c r="H25" s="24"/>
      <c r="I25" s="599"/>
    </row>
    <row r="26" spans="1:9" ht="15">
      <c r="A26" s="25"/>
      <c r="B26" s="23"/>
      <c r="C26" s="574">
        <v>3.5</v>
      </c>
      <c r="D26" s="596" t="s">
        <v>579</v>
      </c>
      <c r="E26" s="26" t="s">
        <v>81</v>
      </c>
      <c r="F26" s="23" t="s">
        <v>2</v>
      </c>
      <c r="G26" s="584">
        <v>1</v>
      </c>
      <c r="H26" s="24"/>
      <c r="I26" s="599"/>
    </row>
    <row r="27" spans="1:9" ht="15">
      <c r="A27" s="25"/>
      <c r="B27" s="23"/>
      <c r="C27" s="574">
        <v>3.6</v>
      </c>
      <c r="D27" s="574" t="s">
        <v>615</v>
      </c>
      <c r="E27" s="26" t="s">
        <v>96</v>
      </c>
      <c r="F27" s="23" t="s">
        <v>2</v>
      </c>
      <c r="G27" s="584">
        <v>8</v>
      </c>
      <c r="H27" s="24"/>
      <c r="I27" s="599"/>
    </row>
    <row r="28" spans="1:9" ht="15">
      <c r="A28" s="25"/>
      <c r="B28" s="23"/>
      <c r="C28" s="574">
        <v>3.7</v>
      </c>
      <c r="D28" s="574" t="s">
        <v>617</v>
      </c>
      <c r="E28" s="26" t="s">
        <v>161</v>
      </c>
      <c r="F28" s="23" t="s">
        <v>2</v>
      </c>
      <c r="G28" s="584">
        <v>1</v>
      </c>
      <c r="H28" s="24"/>
      <c r="I28" s="599"/>
    </row>
    <row r="29" spans="1:9" ht="15">
      <c r="A29" s="25"/>
      <c r="B29" s="23"/>
      <c r="C29" s="574">
        <v>3.8</v>
      </c>
      <c r="D29" s="574" t="s">
        <v>610</v>
      </c>
      <c r="E29" s="26" t="s">
        <v>163</v>
      </c>
      <c r="F29" s="23" t="s">
        <v>2</v>
      </c>
      <c r="G29" s="584">
        <v>2</v>
      </c>
      <c r="H29" s="24"/>
      <c r="I29" s="599"/>
    </row>
    <row r="30" spans="1:9" ht="15">
      <c r="A30" s="25"/>
      <c r="B30" s="23"/>
      <c r="C30" s="574">
        <v>3.9</v>
      </c>
      <c r="D30" s="574" t="s">
        <v>611</v>
      </c>
      <c r="E30" s="26" t="s">
        <v>28</v>
      </c>
      <c r="F30" s="23" t="s">
        <v>2</v>
      </c>
      <c r="G30" s="584">
        <v>3</v>
      </c>
      <c r="H30" s="24"/>
      <c r="I30" s="599"/>
    </row>
    <row r="31" spans="1:9" ht="15">
      <c r="A31" s="25"/>
      <c r="B31" s="23"/>
      <c r="C31" s="574" t="s">
        <v>429</v>
      </c>
      <c r="D31" s="596" t="s">
        <v>608</v>
      </c>
      <c r="E31" s="26" t="s">
        <v>94</v>
      </c>
      <c r="F31" s="23" t="s">
        <v>2</v>
      </c>
      <c r="G31" s="584">
        <v>2</v>
      </c>
      <c r="H31" s="24"/>
      <c r="I31" s="599"/>
    </row>
    <row r="32" spans="1:9" ht="15">
      <c r="A32" s="25"/>
      <c r="B32" s="23"/>
      <c r="C32" s="574" t="s">
        <v>430</v>
      </c>
      <c r="D32" s="574" t="s">
        <v>575</v>
      </c>
      <c r="E32" s="26" t="s">
        <v>66</v>
      </c>
      <c r="F32" s="23" t="s">
        <v>2</v>
      </c>
      <c r="G32" s="584">
        <v>1</v>
      </c>
      <c r="H32" s="24"/>
      <c r="I32" s="599"/>
    </row>
    <row r="33" spans="1:9" ht="15">
      <c r="A33" s="25"/>
      <c r="B33" s="23"/>
      <c r="C33" s="574" t="s">
        <v>431</v>
      </c>
      <c r="D33" s="596" t="s">
        <v>624</v>
      </c>
      <c r="E33" s="26" t="s">
        <v>70</v>
      </c>
      <c r="F33" s="23" t="s">
        <v>2</v>
      </c>
      <c r="G33" s="584">
        <v>1</v>
      </c>
      <c r="H33" s="24"/>
      <c r="I33" s="599"/>
    </row>
    <row r="34" spans="1:9" ht="15">
      <c r="A34" s="25"/>
      <c r="B34" s="23"/>
      <c r="C34" s="574">
        <v>3.11</v>
      </c>
      <c r="D34" s="596" t="s">
        <v>592</v>
      </c>
      <c r="E34" s="26" t="s">
        <v>26</v>
      </c>
      <c r="F34" s="23" t="s">
        <v>20</v>
      </c>
      <c r="G34" s="584">
        <f>2.2*1.5</f>
        <v>3.3000000000000003</v>
      </c>
      <c r="H34" s="24"/>
      <c r="I34" s="599"/>
    </row>
    <row r="35" spans="1:9" ht="15">
      <c r="A35" s="25"/>
      <c r="B35" s="23"/>
      <c r="C35" s="574" t="s">
        <v>431</v>
      </c>
      <c r="D35" s="574" t="s">
        <v>561</v>
      </c>
      <c r="E35" s="26" t="s">
        <v>488</v>
      </c>
      <c r="F35" s="23" t="s">
        <v>2</v>
      </c>
      <c r="G35" s="584">
        <v>1</v>
      </c>
      <c r="H35" s="24"/>
      <c r="I35" s="599"/>
    </row>
    <row r="36" spans="1:9" s="2" customFormat="1" ht="15">
      <c r="A36" s="17"/>
      <c r="B36" s="19">
        <v>4</v>
      </c>
      <c r="C36" s="573"/>
      <c r="D36" s="573"/>
      <c r="E36" s="18" t="s">
        <v>427</v>
      </c>
      <c r="F36" s="19"/>
      <c r="G36" s="585"/>
      <c r="H36" s="27"/>
      <c r="I36" s="600"/>
    </row>
    <row r="37" spans="1:9" ht="15">
      <c r="A37" s="25"/>
      <c r="B37" s="23"/>
      <c r="C37" s="574">
        <v>4.1</v>
      </c>
      <c r="D37" s="574" t="s">
        <v>598</v>
      </c>
      <c r="E37" s="26" t="s">
        <v>72</v>
      </c>
      <c r="F37" s="23" t="s">
        <v>2</v>
      </c>
      <c r="G37" s="584">
        <v>3</v>
      </c>
      <c r="H37" s="24"/>
      <c r="I37" s="599"/>
    </row>
    <row r="38" spans="1:9" ht="15">
      <c r="A38" s="25"/>
      <c r="B38" s="23"/>
      <c r="C38" s="574">
        <v>4.2</v>
      </c>
      <c r="D38" s="574" t="s">
        <v>592</v>
      </c>
      <c r="E38" s="26" t="s">
        <v>26</v>
      </c>
      <c r="F38" s="23" t="s">
        <v>20</v>
      </c>
      <c r="G38" s="584">
        <f>2.5*1.5*2+1.6*1.5*3</f>
        <v>14.700000000000001</v>
      </c>
      <c r="H38" s="24"/>
      <c r="I38" s="599"/>
    </row>
    <row r="39" spans="1:9" ht="15">
      <c r="A39" s="25"/>
      <c r="B39" s="23"/>
      <c r="C39" s="574">
        <v>4.3</v>
      </c>
      <c r="D39" s="574"/>
      <c r="E39" s="26" t="s">
        <v>101</v>
      </c>
      <c r="F39" s="23"/>
      <c r="G39" s="584"/>
      <c r="H39" s="24"/>
      <c r="I39" s="599"/>
    </row>
    <row r="40" spans="1:9" ht="15">
      <c r="A40" s="25"/>
      <c r="B40" s="23"/>
      <c r="C40" s="574" t="s">
        <v>428</v>
      </c>
      <c r="D40" s="574" t="s">
        <v>630</v>
      </c>
      <c r="E40" s="26" t="s">
        <v>103</v>
      </c>
      <c r="F40" s="23" t="s">
        <v>2</v>
      </c>
      <c r="G40" s="584">
        <v>1</v>
      </c>
      <c r="H40" s="24"/>
      <c r="I40" s="599"/>
    </row>
    <row r="41" spans="1:9" ht="15">
      <c r="A41" s="25"/>
      <c r="B41" s="23"/>
      <c r="C41" s="574">
        <v>4.4</v>
      </c>
      <c r="D41" s="596" t="s">
        <v>603</v>
      </c>
      <c r="E41" s="26" t="s">
        <v>106</v>
      </c>
      <c r="F41" s="23" t="s">
        <v>2</v>
      </c>
      <c r="G41" s="584">
        <v>1</v>
      </c>
      <c r="H41" s="24"/>
      <c r="I41" s="599"/>
    </row>
    <row r="42" spans="1:9" ht="15">
      <c r="A42" s="25"/>
      <c r="B42" s="23"/>
      <c r="C42" s="574">
        <v>4.5</v>
      </c>
      <c r="D42" s="574" t="s">
        <v>592</v>
      </c>
      <c r="E42" s="26" t="s">
        <v>26</v>
      </c>
      <c r="F42" s="23" t="s">
        <v>20</v>
      </c>
      <c r="G42" s="584">
        <f>4.5*2</f>
        <v>9</v>
      </c>
      <c r="H42" s="24"/>
      <c r="I42" s="599"/>
    </row>
    <row r="43" spans="1:9" ht="15">
      <c r="A43" s="25"/>
      <c r="B43" s="23"/>
      <c r="C43" s="574">
        <v>4.6</v>
      </c>
      <c r="D43" s="574" t="s">
        <v>575</v>
      </c>
      <c r="E43" s="26" t="s">
        <v>66</v>
      </c>
      <c r="F43" s="23" t="s">
        <v>2</v>
      </c>
      <c r="G43" s="584">
        <v>2</v>
      </c>
      <c r="H43" s="24"/>
      <c r="I43" s="599"/>
    </row>
    <row r="44" spans="1:9" ht="15">
      <c r="A44" s="25"/>
      <c r="B44" s="23"/>
      <c r="C44" s="574">
        <v>4.7</v>
      </c>
      <c r="D44" s="596" t="s">
        <v>627</v>
      </c>
      <c r="E44" s="26" t="s">
        <v>68</v>
      </c>
      <c r="F44" s="23" t="s">
        <v>2</v>
      </c>
      <c r="G44" s="584">
        <v>2</v>
      </c>
      <c r="H44" s="24"/>
      <c r="I44" s="599"/>
    </row>
    <row r="45" spans="1:9" ht="15">
      <c r="A45" s="25"/>
      <c r="B45" s="23"/>
      <c r="C45" s="574">
        <v>4.8</v>
      </c>
      <c r="D45" s="596" t="s">
        <v>624</v>
      </c>
      <c r="E45" s="26" t="s">
        <v>70</v>
      </c>
      <c r="F45" s="23" t="s">
        <v>2</v>
      </c>
      <c r="G45" s="584">
        <v>1</v>
      </c>
      <c r="H45" s="24"/>
      <c r="I45" s="599"/>
    </row>
    <row r="46" spans="1:9" ht="15">
      <c r="A46" s="25"/>
      <c r="B46" s="23"/>
      <c r="C46" s="574" t="s">
        <v>432</v>
      </c>
      <c r="D46" s="574" t="s">
        <v>611</v>
      </c>
      <c r="E46" s="26" t="s">
        <v>28</v>
      </c>
      <c r="F46" s="23" t="s">
        <v>2</v>
      </c>
      <c r="G46" s="584">
        <v>5</v>
      </c>
      <c r="H46" s="24"/>
      <c r="I46" s="599"/>
    </row>
    <row r="47" spans="1:9" ht="15">
      <c r="A47" s="25"/>
      <c r="B47" s="23"/>
      <c r="C47" s="574" t="s">
        <v>433</v>
      </c>
      <c r="D47" s="574" t="s">
        <v>608</v>
      </c>
      <c r="E47" s="26" t="s">
        <v>94</v>
      </c>
      <c r="F47" s="23" t="s">
        <v>2</v>
      </c>
      <c r="G47" s="584">
        <v>8</v>
      </c>
      <c r="H47" s="24"/>
      <c r="I47" s="599"/>
    </row>
    <row r="48" spans="1:9" s="2" customFormat="1" ht="15">
      <c r="A48" s="17"/>
      <c r="B48" s="19">
        <v>5</v>
      </c>
      <c r="C48" s="573"/>
      <c r="D48" s="573"/>
      <c r="E48" s="18" t="s">
        <v>434</v>
      </c>
      <c r="F48" s="19"/>
      <c r="G48" s="585"/>
      <c r="H48" s="27"/>
      <c r="I48" s="600"/>
    </row>
    <row r="49" spans="1:9" ht="15">
      <c r="A49" s="25"/>
      <c r="B49" s="23"/>
      <c r="C49" s="574" t="s">
        <v>53</v>
      </c>
      <c r="D49" s="574"/>
      <c r="E49" s="26" t="s">
        <v>101</v>
      </c>
      <c r="F49" s="23"/>
      <c r="G49" s="584"/>
      <c r="H49" s="24"/>
      <c r="I49" s="114"/>
    </row>
    <row r="50" spans="1:9" ht="15">
      <c r="A50" s="25"/>
      <c r="B50" s="23"/>
      <c r="C50" s="574" t="s">
        <v>435</v>
      </c>
      <c r="D50" s="574" t="s">
        <v>630</v>
      </c>
      <c r="E50" s="26" t="s">
        <v>103</v>
      </c>
      <c r="F50" s="23" t="s">
        <v>2</v>
      </c>
      <c r="G50" s="584">
        <v>1</v>
      </c>
      <c r="H50" s="24"/>
      <c r="I50" s="599"/>
    </row>
    <row r="51" spans="1:9" ht="15">
      <c r="A51" s="25"/>
      <c r="B51" s="23"/>
      <c r="C51" s="574" t="s">
        <v>55</v>
      </c>
      <c r="D51" s="574" t="s">
        <v>603</v>
      </c>
      <c r="E51" s="26" t="s">
        <v>106</v>
      </c>
      <c r="F51" s="23" t="s">
        <v>2</v>
      </c>
      <c r="G51" s="584">
        <v>1</v>
      </c>
      <c r="H51" s="24"/>
      <c r="I51" s="599"/>
    </row>
    <row r="52" spans="1:9" ht="15">
      <c r="A52" s="25"/>
      <c r="B52" s="23"/>
      <c r="C52" s="574" t="s">
        <v>57</v>
      </c>
      <c r="D52" s="574" t="s">
        <v>598</v>
      </c>
      <c r="E52" s="26" t="s">
        <v>72</v>
      </c>
      <c r="F52" s="23" t="s">
        <v>2</v>
      </c>
      <c r="G52" s="584">
        <v>1</v>
      </c>
      <c r="H52" s="24"/>
      <c r="I52" s="599"/>
    </row>
    <row r="53" spans="1:9" ht="15">
      <c r="A53" s="25"/>
      <c r="B53" s="23"/>
      <c r="C53" s="574" t="s">
        <v>58</v>
      </c>
      <c r="D53" s="574" t="s">
        <v>579</v>
      </c>
      <c r="E53" s="26" t="s">
        <v>81</v>
      </c>
      <c r="F53" s="23" t="s">
        <v>2</v>
      </c>
      <c r="G53" s="584">
        <v>1</v>
      </c>
      <c r="H53" s="24"/>
      <c r="I53" s="599"/>
    </row>
    <row r="54" spans="1:9" ht="15">
      <c r="A54" s="25"/>
      <c r="B54" s="23"/>
      <c r="C54" s="574" t="s">
        <v>60</v>
      </c>
      <c r="D54" s="574" t="s">
        <v>615</v>
      </c>
      <c r="E54" s="26" t="s">
        <v>96</v>
      </c>
      <c r="F54" s="23" t="s">
        <v>2</v>
      </c>
      <c r="G54" s="584">
        <v>8</v>
      </c>
      <c r="H54" s="24"/>
      <c r="I54" s="599"/>
    </row>
    <row r="55" spans="1:9" ht="15">
      <c r="A55" s="25"/>
      <c r="B55" s="23"/>
      <c r="C55" s="574" t="s">
        <v>62</v>
      </c>
      <c r="D55" s="574" t="s">
        <v>611</v>
      </c>
      <c r="E55" s="26" t="s">
        <v>28</v>
      </c>
      <c r="F55" s="23" t="s">
        <v>2</v>
      </c>
      <c r="G55" s="584">
        <v>3</v>
      </c>
      <c r="H55" s="24"/>
      <c r="I55" s="599"/>
    </row>
    <row r="56" spans="1:9" ht="15">
      <c r="A56" s="25"/>
      <c r="B56" s="23"/>
      <c r="C56" s="574" t="s">
        <v>436</v>
      </c>
      <c r="D56" s="574" t="s">
        <v>608</v>
      </c>
      <c r="E56" s="26" t="s">
        <v>94</v>
      </c>
      <c r="F56" s="23" t="s">
        <v>2</v>
      </c>
      <c r="G56" s="584">
        <v>4</v>
      </c>
      <c r="H56" s="24"/>
      <c r="I56" s="599"/>
    </row>
    <row r="57" spans="1:9" ht="15">
      <c r="A57" s="25"/>
      <c r="B57" s="23"/>
      <c r="C57" s="574" t="s">
        <v>437</v>
      </c>
      <c r="D57" s="574" t="s">
        <v>592</v>
      </c>
      <c r="E57" s="26" t="s">
        <v>26</v>
      </c>
      <c r="F57" s="23" t="s">
        <v>20</v>
      </c>
      <c r="G57" s="584">
        <f>7*2.5</f>
        <v>17.5</v>
      </c>
      <c r="H57" s="24"/>
      <c r="I57" s="599"/>
    </row>
    <row r="58" spans="1:9" s="2" customFormat="1" ht="15">
      <c r="A58" s="17"/>
      <c r="B58" s="19">
        <v>6</v>
      </c>
      <c r="C58" s="573"/>
      <c r="D58" s="573"/>
      <c r="E58" s="18" t="s">
        <v>438</v>
      </c>
      <c r="F58" s="19"/>
      <c r="G58" s="585"/>
      <c r="H58" s="27"/>
      <c r="I58" s="600"/>
    </row>
    <row r="59" spans="1:9" ht="15">
      <c r="A59" s="25"/>
      <c r="B59" s="23"/>
      <c r="C59" s="574" t="s">
        <v>65</v>
      </c>
      <c r="D59" s="574"/>
      <c r="E59" s="26" t="s">
        <v>101</v>
      </c>
      <c r="F59" s="23"/>
      <c r="G59" s="584"/>
      <c r="H59" s="24"/>
      <c r="I59" s="599"/>
    </row>
    <row r="60" spans="1:9" ht="15">
      <c r="A60" s="25"/>
      <c r="B60" s="23"/>
      <c r="C60" s="574" t="s">
        <v>439</v>
      </c>
      <c r="D60" s="574" t="s">
        <v>630</v>
      </c>
      <c r="E60" s="26" t="s">
        <v>103</v>
      </c>
      <c r="F60" s="23" t="s">
        <v>2</v>
      </c>
      <c r="G60" s="584">
        <v>1</v>
      </c>
      <c r="H60" s="24"/>
      <c r="I60" s="599"/>
    </row>
    <row r="61" spans="1:9" ht="15">
      <c r="A61" s="25"/>
      <c r="B61" s="23"/>
      <c r="C61" s="574" t="s">
        <v>67</v>
      </c>
      <c r="D61" s="574" t="s">
        <v>603</v>
      </c>
      <c r="E61" s="26" t="s">
        <v>106</v>
      </c>
      <c r="F61" s="23" t="s">
        <v>2</v>
      </c>
      <c r="G61" s="584">
        <v>1</v>
      </c>
      <c r="H61" s="24"/>
      <c r="I61" s="599"/>
    </row>
    <row r="62" spans="1:9" ht="15">
      <c r="A62" s="25"/>
      <c r="B62" s="23"/>
      <c r="C62" s="574" t="s">
        <v>69</v>
      </c>
      <c r="D62" s="574" t="s">
        <v>598</v>
      </c>
      <c r="E62" s="26" t="s">
        <v>72</v>
      </c>
      <c r="F62" s="23" t="s">
        <v>2</v>
      </c>
      <c r="G62" s="584">
        <v>1</v>
      </c>
      <c r="H62" s="24"/>
      <c r="I62" s="599"/>
    </row>
    <row r="63" spans="1:9" ht="15">
      <c r="A63" s="25"/>
      <c r="B63" s="23"/>
      <c r="C63" s="574" t="s">
        <v>440</v>
      </c>
      <c r="D63" s="574" t="s">
        <v>611</v>
      </c>
      <c r="E63" s="26" t="s">
        <v>28</v>
      </c>
      <c r="F63" s="23" t="s">
        <v>2</v>
      </c>
      <c r="G63" s="584">
        <v>3</v>
      </c>
      <c r="H63" s="24"/>
      <c r="I63" s="599"/>
    </row>
    <row r="64" spans="1:9" ht="15">
      <c r="A64" s="25"/>
      <c r="B64" s="23"/>
      <c r="C64" s="574" t="s">
        <v>441</v>
      </c>
      <c r="D64" s="574" t="s">
        <v>608</v>
      </c>
      <c r="E64" s="26" t="s">
        <v>94</v>
      </c>
      <c r="F64" s="23" t="s">
        <v>2</v>
      </c>
      <c r="G64" s="584">
        <v>4</v>
      </c>
      <c r="H64" s="24"/>
      <c r="I64" s="599"/>
    </row>
    <row r="65" spans="1:9" ht="15">
      <c r="A65" s="25"/>
      <c r="B65" s="23"/>
      <c r="C65" s="574" t="s">
        <v>442</v>
      </c>
      <c r="D65" s="574" t="s">
        <v>575</v>
      </c>
      <c r="E65" s="26" t="s">
        <v>66</v>
      </c>
      <c r="F65" s="23" t="s">
        <v>2</v>
      </c>
      <c r="G65" s="584">
        <v>1</v>
      </c>
      <c r="H65" s="24"/>
      <c r="I65" s="599"/>
    </row>
    <row r="66" spans="1:9" ht="15">
      <c r="A66" s="25"/>
      <c r="B66" s="23"/>
      <c r="C66" s="574" t="s">
        <v>443</v>
      </c>
      <c r="D66" s="574" t="s">
        <v>627</v>
      </c>
      <c r="E66" s="26" t="s">
        <v>68</v>
      </c>
      <c r="F66" s="23" t="s">
        <v>2</v>
      </c>
      <c r="G66" s="584">
        <v>2</v>
      </c>
      <c r="H66" s="24"/>
      <c r="I66" s="599"/>
    </row>
    <row r="67" spans="1:9" ht="15">
      <c r="A67" s="25"/>
      <c r="B67" s="23"/>
      <c r="C67" s="574" t="s">
        <v>444</v>
      </c>
      <c r="D67" s="574" t="s">
        <v>592</v>
      </c>
      <c r="E67" s="26" t="s">
        <v>26</v>
      </c>
      <c r="F67" s="23" t="s">
        <v>20</v>
      </c>
      <c r="G67" s="584">
        <f>7*2.5</f>
        <v>17.5</v>
      </c>
      <c r="H67" s="24"/>
      <c r="I67" s="599"/>
    </row>
    <row r="68" spans="1:9" s="2" customFormat="1" ht="15">
      <c r="A68" s="17"/>
      <c r="B68" s="19">
        <v>7</v>
      </c>
      <c r="C68" s="573"/>
      <c r="D68" s="573"/>
      <c r="E68" s="18" t="s">
        <v>445</v>
      </c>
      <c r="F68" s="19"/>
      <c r="G68" s="585"/>
      <c r="H68" s="27"/>
      <c r="I68" s="600"/>
    </row>
    <row r="69" spans="1:9" ht="15">
      <c r="A69" s="25"/>
      <c r="B69" s="23"/>
      <c r="C69" s="574" t="s">
        <v>71</v>
      </c>
      <c r="D69" s="574" t="s">
        <v>602</v>
      </c>
      <c r="E69" s="26" t="s">
        <v>124</v>
      </c>
      <c r="F69" s="23" t="s">
        <v>2</v>
      </c>
      <c r="G69" s="584">
        <v>1</v>
      </c>
      <c r="H69" s="24"/>
      <c r="I69" s="599"/>
    </row>
    <row r="70" spans="1:9" ht="15">
      <c r="A70" s="25"/>
      <c r="B70" s="23"/>
      <c r="C70" s="574" t="s">
        <v>73</v>
      </c>
      <c r="D70" s="574" t="s">
        <v>599</v>
      </c>
      <c r="E70" s="26" t="s">
        <v>446</v>
      </c>
      <c r="F70" s="23" t="s">
        <v>2</v>
      </c>
      <c r="G70" s="584">
        <v>1</v>
      </c>
      <c r="H70" s="24"/>
      <c r="I70" s="599"/>
    </row>
    <row r="71" spans="1:9" ht="15">
      <c r="A71" s="25"/>
      <c r="B71" s="23"/>
      <c r="C71" s="574" t="s">
        <v>78</v>
      </c>
      <c r="D71" s="574" t="s">
        <v>573</v>
      </c>
      <c r="E71" s="26" t="s">
        <v>447</v>
      </c>
      <c r="F71" s="23" t="s">
        <v>2</v>
      </c>
      <c r="G71" s="584">
        <v>1</v>
      </c>
      <c r="H71" s="24"/>
      <c r="I71" s="599"/>
    </row>
    <row r="72" spans="1:9" ht="15">
      <c r="A72" s="25"/>
      <c r="B72" s="23"/>
      <c r="C72" s="574" t="s">
        <v>80</v>
      </c>
      <c r="D72" s="574" t="s">
        <v>566</v>
      </c>
      <c r="E72" s="26" t="s">
        <v>137</v>
      </c>
      <c r="F72" s="23" t="s">
        <v>2</v>
      </c>
      <c r="G72" s="584">
        <v>1</v>
      </c>
      <c r="H72" s="24"/>
      <c r="I72" s="599"/>
    </row>
    <row r="73" spans="1:9" ht="15">
      <c r="A73" s="25"/>
      <c r="B73" s="23"/>
      <c r="C73" s="574" t="s">
        <v>82</v>
      </c>
      <c r="D73" s="574" t="s">
        <v>611</v>
      </c>
      <c r="E73" s="26" t="s">
        <v>28</v>
      </c>
      <c r="F73" s="23" t="s">
        <v>2</v>
      </c>
      <c r="G73" s="584">
        <v>1</v>
      </c>
      <c r="H73" s="24"/>
      <c r="I73" s="599"/>
    </row>
    <row r="74" spans="1:9" ht="15">
      <c r="A74" s="25"/>
      <c r="B74" s="23"/>
      <c r="C74" s="574" t="s">
        <v>84</v>
      </c>
      <c r="D74" s="574" t="s">
        <v>607</v>
      </c>
      <c r="E74" s="26" t="s">
        <v>448</v>
      </c>
      <c r="F74" s="23" t="s">
        <v>2</v>
      </c>
      <c r="G74" s="584">
        <v>1</v>
      </c>
      <c r="H74" s="24"/>
      <c r="I74" s="599"/>
    </row>
    <row r="75" spans="1:9" ht="15">
      <c r="A75" s="25"/>
      <c r="B75" s="23"/>
      <c r="C75" s="574" t="s">
        <v>90</v>
      </c>
      <c r="D75" s="574" t="s">
        <v>609</v>
      </c>
      <c r="E75" s="26" t="s">
        <v>449</v>
      </c>
      <c r="F75" s="23" t="s">
        <v>2</v>
      </c>
      <c r="G75" s="584">
        <v>2</v>
      </c>
      <c r="H75" s="24"/>
      <c r="I75" s="599"/>
    </row>
    <row r="76" spans="1:9" ht="15">
      <c r="A76" s="25"/>
      <c r="B76" s="23"/>
      <c r="C76" s="574" t="s">
        <v>92</v>
      </c>
      <c r="D76" s="574" t="s">
        <v>614</v>
      </c>
      <c r="E76" s="26" t="s">
        <v>450</v>
      </c>
      <c r="F76" s="23" t="s">
        <v>2</v>
      </c>
      <c r="G76" s="584">
        <v>4</v>
      </c>
      <c r="H76" s="24"/>
      <c r="I76" s="599"/>
    </row>
    <row r="77" spans="1:9" s="2" customFormat="1" ht="15">
      <c r="A77" s="17"/>
      <c r="B77" s="19">
        <v>8</v>
      </c>
      <c r="C77" s="573"/>
      <c r="D77" s="573"/>
      <c r="E77" s="18" t="s">
        <v>451</v>
      </c>
      <c r="F77" s="19"/>
      <c r="G77" s="585"/>
      <c r="H77" s="27"/>
      <c r="I77" s="600"/>
    </row>
    <row r="78" spans="1:9" ht="15">
      <c r="A78" s="25"/>
      <c r="B78" s="23"/>
      <c r="C78" s="574" t="s">
        <v>100</v>
      </c>
      <c r="D78" s="574" t="s">
        <v>602</v>
      </c>
      <c r="E78" s="26" t="s">
        <v>124</v>
      </c>
      <c r="F78" s="23" t="s">
        <v>2</v>
      </c>
      <c r="G78" s="584">
        <v>1</v>
      </c>
      <c r="H78" s="24"/>
      <c r="I78" s="599"/>
    </row>
    <row r="79" spans="1:9" ht="15">
      <c r="A79" s="25"/>
      <c r="B79" s="23"/>
      <c r="C79" s="574" t="s">
        <v>105</v>
      </c>
      <c r="D79" s="574" t="s">
        <v>599</v>
      </c>
      <c r="E79" s="26" t="s">
        <v>446</v>
      </c>
      <c r="F79" s="23" t="s">
        <v>2</v>
      </c>
      <c r="G79" s="584">
        <v>1</v>
      </c>
      <c r="H79" s="24"/>
      <c r="I79" s="599"/>
    </row>
    <row r="80" spans="1:9" ht="15">
      <c r="A80" s="25"/>
      <c r="B80" s="23"/>
      <c r="C80" s="574" t="s">
        <v>107</v>
      </c>
      <c r="D80" s="574" t="s">
        <v>573</v>
      </c>
      <c r="E80" s="26" t="s">
        <v>447</v>
      </c>
      <c r="F80" s="23" t="s">
        <v>2</v>
      </c>
      <c r="G80" s="584">
        <v>1</v>
      </c>
      <c r="H80" s="24"/>
      <c r="I80" s="599"/>
    </row>
    <row r="81" spans="1:9" ht="15">
      <c r="A81" s="25"/>
      <c r="B81" s="23"/>
      <c r="C81" s="574" t="s">
        <v>109</v>
      </c>
      <c r="D81" s="574" t="s">
        <v>566</v>
      </c>
      <c r="E81" s="26" t="s">
        <v>137</v>
      </c>
      <c r="F81" s="23" t="s">
        <v>2</v>
      </c>
      <c r="G81" s="584">
        <v>1</v>
      </c>
      <c r="H81" s="24"/>
      <c r="I81" s="599"/>
    </row>
    <row r="82" spans="1:9" ht="15">
      <c r="A82" s="25"/>
      <c r="B82" s="23"/>
      <c r="C82" s="574" t="s">
        <v>110</v>
      </c>
      <c r="D82" s="574" t="s">
        <v>611</v>
      </c>
      <c r="E82" s="26" t="s">
        <v>28</v>
      </c>
      <c r="F82" s="23" t="s">
        <v>2</v>
      </c>
      <c r="G82" s="584">
        <v>1</v>
      </c>
      <c r="H82" s="24"/>
      <c r="I82" s="599"/>
    </row>
    <row r="83" spans="1:9" ht="15">
      <c r="A83" s="25"/>
      <c r="B83" s="23"/>
      <c r="C83" s="574" t="s">
        <v>111</v>
      </c>
      <c r="D83" s="574" t="s">
        <v>607</v>
      </c>
      <c r="E83" s="26" t="s">
        <v>448</v>
      </c>
      <c r="F83" s="23" t="s">
        <v>2</v>
      </c>
      <c r="G83" s="584">
        <v>1</v>
      </c>
      <c r="H83" s="24"/>
      <c r="I83" s="599"/>
    </row>
    <row r="84" spans="1:9" ht="15">
      <c r="A84" s="25"/>
      <c r="B84" s="23"/>
      <c r="C84" s="574" t="s">
        <v>112</v>
      </c>
      <c r="D84" s="574" t="s">
        <v>609</v>
      </c>
      <c r="E84" s="26" t="s">
        <v>449</v>
      </c>
      <c r="F84" s="23" t="s">
        <v>2</v>
      </c>
      <c r="G84" s="584">
        <v>2</v>
      </c>
      <c r="H84" s="24"/>
      <c r="I84" s="599"/>
    </row>
    <row r="85" spans="1:9" ht="15">
      <c r="A85" s="25"/>
      <c r="B85" s="23"/>
      <c r="C85" s="574" t="s">
        <v>116</v>
      </c>
      <c r="D85" s="574" t="s">
        <v>614</v>
      </c>
      <c r="E85" s="26" t="s">
        <v>450</v>
      </c>
      <c r="F85" s="23" t="s">
        <v>2</v>
      </c>
      <c r="G85" s="584">
        <v>4</v>
      </c>
      <c r="H85" s="24"/>
      <c r="I85" s="599"/>
    </row>
    <row r="86" spans="1:9" s="2" customFormat="1" ht="15">
      <c r="A86" s="17"/>
      <c r="B86" s="19">
        <v>9</v>
      </c>
      <c r="C86" s="573"/>
      <c r="D86" s="573"/>
      <c r="E86" s="18" t="s">
        <v>452</v>
      </c>
      <c r="F86" s="19"/>
      <c r="G86" s="585"/>
      <c r="H86" s="27"/>
      <c r="I86" s="600"/>
    </row>
    <row r="87" spans="1:9" ht="15">
      <c r="A87" s="25"/>
      <c r="B87" s="23"/>
      <c r="C87" s="574" t="s">
        <v>123</v>
      </c>
      <c r="D87" s="574" t="s">
        <v>578</v>
      </c>
      <c r="E87" s="26" t="s">
        <v>453</v>
      </c>
      <c r="F87" s="23" t="s">
        <v>2</v>
      </c>
      <c r="G87" s="584">
        <v>1</v>
      </c>
      <c r="H87" s="24"/>
      <c r="I87" s="599"/>
    </row>
    <row r="88" spans="1:9" ht="15">
      <c r="A88" s="25"/>
      <c r="B88" s="23"/>
      <c r="C88" s="574" t="s">
        <v>125</v>
      </c>
      <c r="D88" s="574" t="s">
        <v>614</v>
      </c>
      <c r="E88" s="26" t="s">
        <v>450</v>
      </c>
      <c r="F88" s="23" t="s">
        <v>2</v>
      </c>
      <c r="G88" s="584">
        <v>12</v>
      </c>
      <c r="H88" s="24"/>
      <c r="I88" s="599"/>
    </row>
    <row r="89" spans="1:9" s="2" customFormat="1" ht="15">
      <c r="A89" s="17"/>
      <c r="B89" s="19">
        <v>10</v>
      </c>
      <c r="C89" s="573"/>
      <c r="D89" s="573"/>
      <c r="E89" s="18" t="s">
        <v>454</v>
      </c>
      <c r="F89" s="19"/>
      <c r="G89" s="585"/>
      <c r="H89" s="27"/>
      <c r="I89" s="600"/>
    </row>
    <row r="90" spans="1:9" ht="15">
      <c r="A90" s="25"/>
      <c r="B90" s="23"/>
      <c r="C90" s="574" t="s">
        <v>131</v>
      </c>
      <c r="D90" s="574" t="s">
        <v>626</v>
      </c>
      <c r="E90" s="26" t="s">
        <v>455</v>
      </c>
      <c r="F90" s="23" t="s">
        <v>2</v>
      </c>
      <c r="G90" s="584">
        <v>3</v>
      </c>
      <c r="H90" s="24"/>
      <c r="I90" s="599"/>
    </row>
    <row r="91" spans="1:9" ht="15">
      <c r="A91" s="25"/>
      <c r="B91" s="23"/>
      <c r="C91" s="574" t="s">
        <v>132</v>
      </c>
      <c r="D91" s="574" t="s">
        <v>574</v>
      </c>
      <c r="E91" s="26" t="s">
        <v>456</v>
      </c>
      <c r="F91" s="23" t="s">
        <v>2</v>
      </c>
      <c r="G91" s="584">
        <v>1</v>
      </c>
      <c r="H91" s="24"/>
      <c r="I91" s="599"/>
    </row>
    <row r="92" spans="1:9" ht="15">
      <c r="A92" s="588"/>
      <c r="B92" s="589"/>
      <c r="C92" s="590"/>
      <c r="D92" s="590"/>
      <c r="E92" s="591"/>
      <c r="F92" s="589"/>
      <c r="G92" s="592"/>
      <c r="H92" s="593"/>
      <c r="I92" s="601"/>
    </row>
    <row r="93" spans="1:9" s="2" customFormat="1" ht="15.75">
      <c r="A93" s="31">
        <v>2</v>
      </c>
      <c r="B93" s="32"/>
      <c r="C93" s="572"/>
      <c r="D93" s="572"/>
      <c r="E93" s="37" t="s">
        <v>457</v>
      </c>
      <c r="F93" s="32"/>
      <c r="G93" s="582"/>
      <c r="H93" s="33"/>
      <c r="I93" s="607"/>
    </row>
    <row r="94" spans="1:9" s="2" customFormat="1" ht="15">
      <c r="A94" s="17"/>
      <c r="B94" s="19">
        <v>1</v>
      </c>
      <c r="C94" s="573"/>
      <c r="D94" s="573"/>
      <c r="E94" s="18" t="s">
        <v>458</v>
      </c>
      <c r="F94" s="19"/>
      <c r="G94" s="585"/>
      <c r="H94" s="27"/>
      <c r="I94" s="600"/>
    </row>
    <row r="95" spans="1:9" ht="15">
      <c r="A95" s="25"/>
      <c r="B95" s="23"/>
      <c r="C95" s="574" t="s">
        <v>6</v>
      </c>
      <c r="D95" s="596" t="s">
        <v>597</v>
      </c>
      <c r="E95" s="26" t="s">
        <v>169</v>
      </c>
      <c r="F95" s="23" t="s">
        <v>2</v>
      </c>
      <c r="G95" s="584">
        <f>32*1+48*5+38*2</f>
        <v>348</v>
      </c>
      <c r="H95" s="24"/>
      <c r="I95" s="599"/>
    </row>
    <row r="96" spans="1:9" ht="15">
      <c r="A96" s="25"/>
      <c r="B96" s="23"/>
      <c r="C96" s="574" t="s">
        <v>8</v>
      </c>
      <c r="D96" s="596" t="s">
        <v>600</v>
      </c>
      <c r="E96" s="26" t="s">
        <v>56</v>
      </c>
      <c r="F96" s="23" t="s">
        <v>2</v>
      </c>
      <c r="G96" s="584">
        <v>8</v>
      </c>
      <c r="H96" s="24"/>
      <c r="I96" s="599"/>
    </row>
    <row r="97" spans="1:9" ht="15">
      <c r="A97" s="25"/>
      <c r="B97" s="23"/>
      <c r="C97" s="574" t="s">
        <v>10</v>
      </c>
      <c r="D97" s="596" t="s">
        <v>611</v>
      </c>
      <c r="E97" s="26" t="s">
        <v>28</v>
      </c>
      <c r="F97" s="23" t="s">
        <v>2</v>
      </c>
      <c r="G97" s="584">
        <v>8</v>
      </c>
      <c r="H97" s="24"/>
      <c r="I97" s="599"/>
    </row>
    <row r="98" spans="1:9" ht="15">
      <c r="A98" s="25"/>
      <c r="B98" s="23"/>
      <c r="C98" s="574" t="s">
        <v>12</v>
      </c>
      <c r="D98" s="596" t="s">
        <v>606</v>
      </c>
      <c r="E98" s="26" t="s">
        <v>173</v>
      </c>
      <c r="F98" s="23" t="s">
        <v>2</v>
      </c>
      <c r="G98" s="584">
        <f>+G95</f>
        <v>348</v>
      </c>
      <c r="H98" s="24"/>
      <c r="I98" s="599"/>
    </row>
    <row r="99" spans="1:9" s="2" customFormat="1" ht="15">
      <c r="A99" s="17"/>
      <c r="B99" s="19">
        <v>2</v>
      </c>
      <c r="C99" s="573"/>
      <c r="D99" s="573"/>
      <c r="E99" s="18" t="s">
        <v>459</v>
      </c>
      <c r="F99" s="18"/>
      <c r="G99" s="585"/>
      <c r="H99" s="27"/>
      <c r="I99" s="600"/>
    </row>
    <row r="100" spans="1:9" ht="15">
      <c r="A100" s="25"/>
      <c r="B100" s="23"/>
      <c r="C100" s="574" t="s">
        <v>33</v>
      </c>
      <c r="D100" s="596" t="s">
        <v>605</v>
      </c>
      <c r="E100" s="26" t="s">
        <v>460</v>
      </c>
      <c r="F100" s="23" t="s">
        <v>2</v>
      </c>
      <c r="G100" s="584">
        <v>12</v>
      </c>
      <c r="H100" s="24"/>
      <c r="I100" s="599"/>
    </row>
    <row r="101" spans="1:9" ht="15">
      <c r="A101" s="28"/>
      <c r="B101" s="576"/>
      <c r="C101" s="574" t="s">
        <v>35</v>
      </c>
      <c r="D101" s="596" t="s">
        <v>600</v>
      </c>
      <c r="E101" s="26" t="s">
        <v>56</v>
      </c>
      <c r="F101" s="23" t="s">
        <v>2</v>
      </c>
      <c r="G101" s="584">
        <v>1</v>
      </c>
      <c r="H101" s="24"/>
      <c r="I101" s="599"/>
    </row>
    <row r="102" spans="1:9" ht="15">
      <c r="A102" s="25"/>
      <c r="B102" s="23"/>
      <c r="C102" s="574" t="s">
        <v>40</v>
      </c>
      <c r="D102" s="596" t="s">
        <v>611</v>
      </c>
      <c r="E102" s="26" t="s">
        <v>28</v>
      </c>
      <c r="F102" s="23" t="s">
        <v>2</v>
      </c>
      <c r="G102" s="584">
        <v>1</v>
      </c>
      <c r="H102" s="24"/>
      <c r="I102" s="599"/>
    </row>
    <row r="103" spans="1:9" ht="15">
      <c r="A103" s="28"/>
      <c r="B103" s="576"/>
      <c r="C103" s="574" t="s">
        <v>41</v>
      </c>
      <c r="D103" s="574" t="s">
        <v>613</v>
      </c>
      <c r="E103" s="26" t="s">
        <v>59</v>
      </c>
      <c r="F103" s="23" t="s">
        <v>2</v>
      </c>
      <c r="G103" s="584">
        <f>+G100*4</f>
        <v>48</v>
      </c>
      <c r="H103" s="24"/>
      <c r="I103" s="599"/>
    </row>
    <row r="104" spans="1:9" s="2" customFormat="1" ht="15">
      <c r="A104" s="17"/>
      <c r="B104" s="19">
        <v>3</v>
      </c>
      <c r="C104" s="573"/>
      <c r="D104" s="573"/>
      <c r="E104" s="18" t="s">
        <v>461</v>
      </c>
      <c r="F104" s="18"/>
      <c r="G104" s="585"/>
      <c r="H104" s="27"/>
      <c r="I104" s="600"/>
    </row>
    <row r="105" spans="1:9" ht="15">
      <c r="A105" s="25"/>
      <c r="B105" s="23"/>
      <c r="C105" s="574" t="s">
        <v>43</v>
      </c>
      <c r="D105" s="596" t="s">
        <v>632</v>
      </c>
      <c r="E105" s="26" t="s">
        <v>199</v>
      </c>
      <c r="F105" s="23" t="s">
        <v>358</v>
      </c>
      <c r="G105" s="584">
        <v>19</v>
      </c>
      <c r="H105" s="24"/>
      <c r="I105" s="599"/>
    </row>
    <row r="106" spans="1:9" ht="15">
      <c r="A106" s="25"/>
      <c r="B106" s="23"/>
      <c r="C106" s="574" t="s">
        <v>45</v>
      </c>
      <c r="D106" s="596" t="s">
        <v>619</v>
      </c>
      <c r="E106" s="26" t="s">
        <v>201</v>
      </c>
      <c r="F106" s="23" t="s">
        <v>2</v>
      </c>
      <c r="G106" s="584">
        <v>16</v>
      </c>
      <c r="H106" s="24"/>
      <c r="I106" s="599"/>
    </row>
    <row r="107" spans="1:9" s="2" customFormat="1" ht="15">
      <c r="A107" s="17"/>
      <c r="B107" s="19">
        <v>4</v>
      </c>
      <c r="C107" s="573"/>
      <c r="D107" s="573"/>
      <c r="E107" s="18" t="s">
        <v>462</v>
      </c>
      <c r="F107" s="19"/>
      <c r="G107" s="585"/>
      <c r="H107" s="27"/>
      <c r="I107" s="600"/>
    </row>
    <row r="108" spans="1:9" ht="15">
      <c r="A108" s="25"/>
      <c r="B108" s="23"/>
      <c r="C108" s="574" t="s">
        <v>49</v>
      </c>
      <c r="D108" s="574" t="s">
        <v>597</v>
      </c>
      <c r="E108" s="26" t="s">
        <v>169</v>
      </c>
      <c r="F108" s="23" t="s">
        <v>2</v>
      </c>
      <c r="G108" s="584">
        <f>32*7</f>
        <v>224</v>
      </c>
      <c r="H108" s="24"/>
      <c r="I108" s="599"/>
    </row>
    <row r="109" spans="1:9" ht="15">
      <c r="A109" s="25"/>
      <c r="B109" s="23"/>
      <c r="C109" s="574" t="s">
        <v>51</v>
      </c>
      <c r="D109" s="574" t="s">
        <v>600</v>
      </c>
      <c r="E109" s="26" t="s">
        <v>56</v>
      </c>
      <c r="F109" s="23" t="s">
        <v>2</v>
      </c>
      <c r="G109" s="584">
        <v>7</v>
      </c>
      <c r="H109" s="24"/>
      <c r="I109" s="599"/>
    </row>
    <row r="110" spans="1:9" ht="15">
      <c r="A110" s="25"/>
      <c r="B110" s="23"/>
      <c r="C110" s="574" t="s">
        <v>464</v>
      </c>
      <c r="D110" s="574" t="s">
        <v>611</v>
      </c>
      <c r="E110" s="26" t="s">
        <v>28</v>
      </c>
      <c r="F110" s="23" t="s">
        <v>2</v>
      </c>
      <c r="G110" s="584">
        <v>7</v>
      </c>
      <c r="H110" s="24"/>
      <c r="I110" s="599"/>
    </row>
    <row r="111" spans="1:9" ht="15">
      <c r="A111" s="25"/>
      <c r="B111" s="23"/>
      <c r="C111" s="574" t="s">
        <v>465</v>
      </c>
      <c r="D111" s="574" t="s">
        <v>606</v>
      </c>
      <c r="E111" s="26" t="s">
        <v>173</v>
      </c>
      <c r="F111" s="23" t="s">
        <v>2</v>
      </c>
      <c r="G111" s="584">
        <f>+G108</f>
        <v>224</v>
      </c>
      <c r="H111" s="24"/>
      <c r="I111" s="599"/>
    </row>
    <row r="112" spans="1:9" s="2" customFormat="1" ht="15">
      <c r="A112" s="17"/>
      <c r="B112" s="19">
        <v>5</v>
      </c>
      <c r="C112" s="573"/>
      <c r="D112" s="573"/>
      <c r="E112" s="18" t="s">
        <v>463</v>
      </c>
      <c r="F112" s="18"/>
      <c r="G112" s="585"/>
      <c r="H112" s="27"/>
      <c r="I112" s="600"/>
    </row>
    <row r="113" spans="1:9" ht="15">
      <c r="A113" s="25"/>
      <c r="B113" s="23"/>
      <c r="C113" s="574" t="s">
        <v>53</v>
      </c>
      <c r="D113" s="574" t="s">
        <v>605</v>
      </c>
      <c r="E113" s="26" t="s">
        <v>460</v>
      </c>
      <c r="F113" s="23" t="s">
        <v>2</v>
      </c>
      <c r="G113" s="584">
        <v>12</v>
      </c>
      <c r="H113" s="24"/>
      <c r="I113" s="599"/>
    </row>
    <row r="114" spans="1:9" ht="15">
      <c r="A114" s="28"/>
      <c r="B114" s="576"/>
      <c r="C114" s="574" t="s">
        <v>55</v>
      </c>
      <c r="D114" s="574" t="s">
        <v>600</v>
      </c>
      <c r="E114" s="26" t="s">
        <v>56</v>
      </c>
      <c r="F114" s="23" t="s">
        <v>2</v>
      </c>
      <c r="G114" s="584">
        <v>1</v>
      </c>
      <c r="H114" s="24"/>
      <c r="I114" s="599"/>
    </row>
    <row r="115" spans="1:9" ht="15">
      <c r="A115" s="25"/>
      <c r="B115" s="23"/>
      <c r="C115" s="574" t="s">
        <v>57</v>
      </c>
      <c r="D115" s="574" t="s">
        <v>611</v>
      </c>
      <c r="E115" s="26" t="s">
        <v>28</v>
      </c>
      <c r="F115" s="23" t="s">
        <v>2</v>
      </c>
      <c r="G115" s="584">
        <v>1</v>
      </c>
      <c r="H115" s="24"/>
      <c r="I115" s="599"/>
    </row>
    <row r="116" spans="1:9" ht="15">
      <c r="A116" s="28"/>
      <c r="B116" s="576"/>
      <c r="C116" s="574" t="s">
        <v>58</v>
      </c>
      <c r="D116" s="574" t="s">
        <v>613</v>
      </c>
      <c r="E116" s="26" t="s">
        <v>59</v>
      </c>
      <c r="F116" s="23" t="s">
        <v>2</v>
      </c>
      <c r="G116" s="584">
        <f>24*2</f>
        <v>48</v>
      </c>
      <c r="H116" s="24"/>
      <c r="I116" s="599"/>
    </row>
    <row r="117" spans="1:9" s="2" customFormat="1" ht="15">
      <c r="A117" s="17"/>
      <c r="B117" s="19">
        <v>6</v>
      </c>
      <c r="C117" s="573"/>
      <c r="D117" s="573"/>
      <c r="E117" s="18" t="s">
        <v>467</v>
      </c>
      <c r="F117" s="19"/>
      <c r="G117" s="585"/>
      <c r="H117" s="27"/>
      <c r="I117" s="600"/>
    </row>
    <row r="118" spans="1:9" ht="15">
      <c r="A118" s="25"/>
      <c r="B118" s="23"/>
      <c r="C118" s="574" t="s">
        <v>65</v>
      </c>
      <c r="D118" s="574" t="s">
        <v>595</v>
      </c>
      <c r="E118" s="26" t="s">
        <v>239</v>
      </c>
      <c r="F118" s="23" t="s">
        <v>2</v>
      </c>
      <c r="G118" s="584">
        <v>4</v>
      </c>
      <c r="H118" s="24"/>
      <c r="I118" s="599"/>
    </row>
    <row r="119" spans="1:9" ht="15">
      <c r="A119" s="25"/>
      <c r="B119" s="23"/>
      <c r="C119" s="574" t="s">
        <v>67</v>
      </c>
      <c r="D119" s="574" t="s">
        <v>623</v>
      </c>
      <c r="E119" s="26" t="s">
        <v>466</v>
      </c>
      <c r="F119" s="23" t="s">
        <v>2</v>
      </c>
      <c r="G119" s="584">
        <v>24</v>
      </c>
      <c r="H119" s="24"/>
      <c r="I119" s="599"/>
    </row>
    <row r="120" spans="1:9" s="2" customFormat="1" ht="15">
      <c r="A120" s="17"/>
      <c r="B120" s="19">
        <v>7</v>
      </c>
      <c r="C120" s="573"/>
      <c r="D120" s="573"/>
      <c r="E120" s="18" t="s">
        <v>468</v>
      </c>
      <c r="F120" s="19"/>
      <c r="G120" s="585"/>
      <c r="H120" s="27"/>
      <c r="I120" s="600"/>
    </row>
    <row r="121" spans="1:9" ht="15">
      <c r="A121" s="25"/>
      <c r="B121" s="23"/>
      <c r="C121" s="574" t="s">
        <v>71</v>
      </c>
      <c r="D121" s="574" t="s">
        <v>597</v>
      </c>
      <c r="E121" s="26" t="s">
        <v>169</v>
      </c>
      <c r="F121" s="23" t="s">
        <v>2</v>
      </c>
      <c r="G121" s="584">
        <f>3*32</f>
        <v>96</v>
      </c>
      <c r="H121" s="24"/>
      <c r="I121" s="599"/>
    </row>
    <row r="122" spans="1:9" ht="15">
      <c r="A122" s="25"/>
      <c r="B122" s="23"/>
      <c r="C122" s="574" t="s">
        <v>73</v>
      </c>
      <c r="D122" s="574" t="s">
        <v>600</v>
      </c>
      <c r="E122" s="26" t="s">
        <v>56</v>
      </c>
      <c r="F122" s="23" t="s">
        <v>2</v>
      </c>
      <c r="G122" s="584">
        <v>3</v>
      </c>
      <c r="H122" s="24"/>
      <c r="I122" s="599"/>
    </row>
    <row r="123" spans="1:9" ht="15">
      <c r="A123" s="25"/>
      <c r="B123" s="23"/>
      <c r="C123" s="574" t="s">
        <v>78</v>
      </c>
      <c r="D123" s="574" t="s">
        <v>611</v>
      </c>
      <c r="E123" s="26" t="s">
        <v>28</v>
      </c>
      <c r="F123" s="23" t="s">
        <v>2</v>
      </c>
      <c r="G123" s="584">
        <v>3</v>
      </c>
      <c r="H123" s="24"/>
      <c r="I123" s="599"/>
    </row>
    <row r="124" spans="1:9" ht="15">
      <c r="A124" s="25"/>
      <c r="B124" s="23"/>
      <c r="C124" s="574" t="s">
        <v>80</v>
      </c>
      <c r="D124" s="574" t="s">
        <v>606</v>
      </c>
      <c r="E124" s="26" t="s">
        <v>173</v>
      </c>
      <c r="F124" s="23" t="s">
        <v>2</v>
      </c>
      <c r="G124" s="584">
        <f>+G121</f>
        <v>96</v>
      </c>
      <c r="H124" s="24"/>
      <c r="I124" s="599"/>
    </row>
    <row r="125" spans="1:9" s="2" customFormat="1" ht="15">
      <c r="A125" s="17"/>
      <c r="B125" s="19">
        <v>8</v>
      </c>
      <c r="C125" s="573"/>
      <c r="D125" s="573"/>
      <c r="E125" s="18" t="s">
        <v>469</v>
      </c>
      <c r="F125" s="18"/>
      <c r="G125" s="585"/>
      <c r="H125" s="27"/>
      <c r="I125" s="600"/>
    </row>
    <row r="126" spans="1:9" ht="15">
      <c r="A126" s="25"/>
      <c r="B126" s="23"/>
      <c r="C126" s="574" t="s">
        <v>100</v>
      </c>
      <c r="D126" s="574" t="s">
        <v>605</v>
      </c>
      <c r="E126" s="26" t="s">
        <v>460</v>
      </c>
      <c r="F126" s="23" t="s">
        <v>2</v>
      </c>
      <c r="G126" s="584">
        <v>6</v>
      </c>
      <c r="H126" s="24"/>
      <c r="I126" s="599"/>
    </row>
    <row r="127" spans="1:9" ht="15">
      <c r="A127" s="28"/>
      <c r="B127" s="576"/>
      <c r="C127" s="574" t="s">
        <v>105</v>
      </c>
      <c r="D127" s="574" t="s">
        <v>600</v>
      </c>
      <c r="E127" s="26" t="s">
        <v>56</v>
      </c>
      <c r="F127" s="23" t="s">
        <v>2</v>
      </c>
      <c r="G127" s="584">
        <v>1</v>
      </c>
      <c r="H127" s="24"/>
      <c r="I127" s="599"/>
    </row>
    <row r="128" spans="1:9" ht="15">
      <c r="A128" s="25"/>
      <c r="B128" s="23"/>
      <c r="C128" s="574" t="s">
        <v>107</v>
      </c>
      <c r="D128" s="574" t="s">
        <v>611</v>
      </c>
      <c r="E128" s="26" t="s">
        <v>28</v>
      </c>
      <c r="F128" s="23" t="s">
        <v>2</v>
      </c>
      <c r="G128" s="584">
        <v>1</v>
      </c>
      <c r="H128" s="24"/>
      <c r="I128" s="599"/>
    </row>
    <row r="129" spans="1:9" ht="15">
      <c r="A129" s="28"/>
      <c r="B129" s="576"/>
      <c r="C129" s="574" t="s">
        <v>109</v>
      </c>
      <c r="D129" s="574" t="s">
        <v>613</v>
      </c>
      <c r="E129" s="26" t="s">
        <v>59</v>
      </c>
      <c r="F129" s="23" t="s">
        <v>2</v>
      </c>
      <c r="G129" s="584">
        <f>+G126*4</f>
        <v>24</v>
      </c>
      <c r="H129" s="24"/>
      <c r="I129" s="599"/>
    </row>
    <row r="130" spans="1:9" s="2" customFormat="1" ht="15">
      <c r="A130" s="17"/>
      <c r="B130" s="19">
        <v>9</v>
      </c>
      <c r="C130" s="573"/>
      <c r="D130" s="573"/>
      <c r="E130" s="18" t="s">
        <v>470</v>
      </c>
      <c r="F130" s="18"/>
      <c r="G130" s="585"/>
      <c r="H130" s="27"/>
      <c r="I130" s="600"/>
    </row>
    <row r="131" spans="1:9" ht="15">
      <c r="A131" s="25"/>
      <c r="B131" s="23"/>
      <c r="C131" s="574" t="s">
        <v>123</v>
      </c>
      <c r="D131" s="596" t="s">
        <v>593</v>
      </c>
      <c r="E131" s="26" t="s">
        <v>188</v>
      </c>
      <c r="F131" s="23" t="s">
        <v>20</v>
      </c>
      <c r="G131" s="584">
        <f>10.5*1.5+7.6*2*1.5</f>
        <v>38.55</v>
      </c>
      <c r="H131" s="24"/>
      <c r="I131" s="599"/>
    </row>
    <row r="132" spans="1:9" s="9" customFormat="1" ht="15">
      <c r="A132" s="29"/>
      <c r="B132" s="577"/>
      <c r="C132" s="574" t="s">
        <v>125</v>
      </c>
      <c r="D132" s="596" t="s">
        <v>565</v>
      </c>
      <c r="E132" s="22" t="s">
        <v>423</v>
      </c>
      <c r="F132" s="30" t="s">
        <v>20</v>
      </c>
      <c r="G132" s="584">
        <f>18*3.5</f>
        <v>63</v>
      </c>
      <c r="H132" s="24"/>
      <c r="I132" s="599"/>
    </row>
    <row r="133" spans="1:9" ht="15">
      <c r="A133" s="25"/>
      <c r="B133" s="23"/>
      <c r="C133" s="574" t="s">
        <v>128</v>
      </c>
      <c r="D133" s="596" t="s">
        <v>584</v>
      </c>
      <c r="E133" s="26" t="s">
        <v>190</v>
      </c>
      <c r="F133" s="23" t="s">
        <v>2</v>
      </c>
      <c r="G133" s="584">
        <f>8*4</f>
        <v>32</v>
      </c>
      <c r="H133" s="24"/>
      <c r="I133" s="599"/>
    </row>
    <row r="134" spans="1:9" ht="15">
      <c r="A134" s="25"/>
      <c r="B134" s="23"/>
      <c r="C134" s="574" t="s">
        <v>129</v>
      </c>
      <c r="D134" s="596" t="s">
        <v>622</v>
      </c>
      <c r="E134" s="26" t="s">
        <v>192</v>
      </c>
      <c r="F134" s="23" t="s">
        <v>2</v>
      </c>
      <c r="G134" s="584">
        <f>8*6</f>
        <v>48</v>
      </c>
      <c r="H134" s="24"/>
      <c r="I134" s="599"/>
    </row>
    <row r="135" spans="1:9" s="2" customFormat="1" ht="15">
      <c r="A135" s="17"/>
      <c r="B135" s="19">
        <v>10</v>
      </c>
      <c r="C135" s="573"/>
      <c r="D135" s="573"/>
      <c r="E135" s="18" t="s">
        <v>471</v>
      </c>
      <c r="F135" s="18"/>
      <c r="G135" s="585"/>
      <c r="H135" s="27"/>
      <c r="I135" s="600"/>
    </row>
    <row r="136" spans="1:9" ht="15">
      <c r="A136" s="25"/>
      <c r="B136" s="23"/>
      <c r="C136" s="574" t="s">
        <v>131</v>
      </c>
      <c r="D136" s="596" t="s">
        <v>627</v>
      </c>
      <c r="E136" s="26" t="s">
        <v>68</v>
      </c>
      <c r="F136" s="23" t="s">
        <v>2</v>
      </c>
      <c r="G136" s="584">
        <v>4</v>
      </c>
      <c r="H136" s="24"/>
      <c r="I136" s="599"/>
    </row>
    <row r="137" spans="1:9" ht="15">
      <c r="A137" s="25"/>
      <c r="B137" s="23"/>
      <c r="C137" s="574" t="s">
        <v>132</v>
      </c>
      <c r="D137" s="596" t="s">
        <v>628</v>
      </c>
      <c r="E137" s="26" t="s">
        <v>208</v>
      </c>
      <c r="F137" s="23" t="s">
        <v>2</v>
      </c>
      <c r="G137" s="584">
        <v>5</v>
      </c>
      <c r="H137" s="24"/>
      <c r="I137" s="599"/>
    </row>
    <row r="138" spans="1:9" ht="15">
      <c r="A138" s="25"/>
      <c r="B138" s="23"/>
      <c r="C138" s="574" t="s">
        <v>134</v>
      </c>
      <c r="D138" s="596" t="s">
        <v>575</v>
      </c>
      <c r="E138" s="26" t="s">
        <v>66</v>
      </c>
      <c r="F138" s="23" t="s">
        <v>2</v>
      </c>
      <c r="G138" s="584">
        <v>5</v>
      </c>
      <c r="H138" s="24"/>
      <c r="I138" s="599"/>
    </row>
    <row r="139" spans="1:9" s="2" customFormat="1" ht="15">
      <c r="A139" s="17"/>
      <c r="B139" s="19">
        <v>11</v>
      </c>
      <c r="C139" s="573"/>
      <c r="D139" s="573"/>
      <c r="E139" s="18" t="s">
        <v>473</v>
      </c>
      <c r="F139" s="19"/>
      <c r="G139" s="585"/>
      <c r="H139" s="27"/>
      <c r="I139" s="600"/>
    </row>
    <row r="140" spans="1:9" ht="15">
      <c r="A140" s="25"/>
      <c r="B140" s="23"/>
      <c r="C140" s="574" t="s">
        <v>152</v>
      </c>
      <c r="D140" s="574" t="s">
        <v>595</v>
      </c>
      <c r="E140" s="26" t="s">
        <v>239</v>
      </c>
      <c r="F140" s="23" t="s">
        <v>2</v>
      </c>
      <c r="G140" s="584">
        <v>4</v>
      </c>
      <c r="H140" s="24"/>
      <c r="I140" s="599"/>
    </row>
    <row r="141" spans="1:9" ht="15">
      <c r="A141" s="25"/>
      <c r="B141" s="23"/>
      <c r="C141" s="574" t="s">
        <v>153</v>
      </c>
      <c r="D141" s="574" t="s">
        <v>623</v>
      </c>
      <c r="E141" s="26" t="s">
        <v>466</v>
      </c>
      <c r="F141" s="23" t="s">
        <v>2</v>
      </c>
      <c r="G141" s="584">
        <v>24</v>
      </c>
      <c r="H141" s="24"/>
      <c r="I141" s="599"/>
    </row>
    <row r="142" spans="1:9" s="2" customFormat="1" ht="15">
      <c r="A142" s="17"/>
      <c r="B142" s="19">
        <v>12</v>
      </c>
      <c r="C142" s="573"/>
      <c r="D142" s="573"/>
      <c r="E142" s="18" t="s">
        <v>474</v>
      </c>
      <c r="F142" s="18"/>
      <c r="G142" s="585"/>
      <c r="H142" s="27"/>
      <c r="I142" s="600"/>
    </row>
    <row r="143" spans="1:9" s="2" customFormat="1" ht="15">
      <c r="A143" s="17"/>
      <c r="B143" s="19"/>
      <c r="C143" s="573" t="s">
        <v>168</v>
      </c>
      <c r="D143" s="573"/>
      <c r="E143" s="18" t="s">
        <v>475</v>
      </c>
      <c r="F143" s="18"/>
      <c r="G143" s="585"/>
      <c r="H143" s="27"/>
      <c r="I143" s="600"/>
    </row>
    <row r="144" spans="1:9" ht="15">
      <c r="A144" s="25"/>
      <c r="B144" s="23"/>
      <c r="C144" s="574" t="s">
        <v>476</v>
      </c>
      <c r="D144" s="596" t="s">
        <v>571</v>
      </c>
      <c r="E144" s="26" t="s">
        <v>217</v>
      </c>
      <c r="F144" s="23" t="s">
        <v>2</v>
      </c>
      <c r="G144" s="584">
        <f>13*4+11*6</f>
        <v>118</v>
      </c>
      <c r="H144" s="24"/>
      <c r="I144" s="599"/>
    </row>
    <row r="145" spans="1:9" s="2" customFormat="1" ht="15">
      <c r="A145" s="17"/>
      <c r="B145" s="19"/>
      <c r="C145" s="573" t="s">
        <v>170</v>
      </c>
      <c r="D145" s="573"/>
      <c r="E145" s="18" t="s">
        <v>477</v>
      </c>
      <c r="F145" s="18"/>
      <c r="G145" s="585"/>
      <c r="H145" s="27"/>
      <c r="I145" s="600"/>
    </row>
    <row r="146" spans="1:9" ht="15">
      <c r="A146" s="25"/>
      <c r="B146" s="23"/>
      <c r="C146" s="574" t="s">
        <v>478</v>
      </c>
      <c r="D146" s="596" t="s">
        <v>571</v>
      </c>
      <c r="E146" s="26" t="s">
        <v>217</v>
      </c>
      <c r="F146" s="23" t="s">
        <v>2</v>
      </c>
      <c r="G146" s="584">
        <f>13*4+11*5</f>
        <v>107</v>
      </c>
      <c r="H146" s="24"/>
      <c r="I146" s="599"/>
    </row>
    <row r="147" spans="1:9" s="2" customFormat="1" ht="15">
      <c r="A147" s="17"/>
      <c r="B147" s="19"/>
      <c r="C147" s="573" t="s">
        <v>171</v>
      </c>
      <c r="D147" s="573"/>
      <c r="E147" s="18" t="s">
        <v>479</v>
      </c>
      <c r="F147" s="18"/>
      <c r="G147" s="585"/>
      <c r="H147" s="27"/>
      <c r="I147" s="600"/>
    </row>
    <row r="148" spans="1:9" ht="15">
      <c r="A148" s="25"/>
      <c r="B148" s="23"/>
      <c r="C148" s="574" t="s">
        <v>480</v>
      </c>
      <c r="D148" s="596" t="s">
        <v>571</v>
      </c>
      <c r="E148" s="26" t="s">
        <v>217</v>
      </c>
      <c r="F148" s="23" t="s">
        <v>2</v>
      </c>
      <c r="G148" s="584">
        <f>13*2+11*2</f>
        <v>48</v>
      </c>
      <c r="H148" s="24"/>
      <c r="I148" s="599"/>
    </row>
    <row r="149" spans="1:9" ht="15">
      <c r="A149" s="588"/>
      <c r="B149" s="589"/>
      <c r="C149" s="590"/>
      <c r="D149" s="590"/>
      <c r="E149" s="591"/>
      <c r="F149" s="589"/>
      <c r="G149" s="592"/>
      <c r="H149" s="593"/>
      <c r="I149" s="601"/>
    </row>
    <row r="150" spans="1:9" s="2" customFormat="1" ht="15.75">
      <c r="A150" s="31">
        <v>3</v>
      </c>
      <c r="B150" s="32"/>
      <c r="C150" s="572"/>
      <c r="D150" s="572"/>
      <c r="E150" s="37" t="s">
        <v>472</v>
      </c>
      <c r="F150" s="32"/>
      <c r="G150" s="582"/>
      <c r="H150" s="33"/>
      <c r="I150" s="607"/>
    </row>
    <row r="151" spans="1:9" s="2" customFormat="1" ht="15">
      <c r="A151" s="17"/>
      <c r="B151" s="19">
        <v>1</v>
      </c>
      <c r="C151" s="573"/>
      <c r="D151" s="573"/>
      <c r="E151" s="18" t="s">
        <v>481</v>
      </c>
      <c r="F151" s="19"/>
      <c r="G151" s="585"/>
      <c r="H151" s="27"/>
      <c r="I151" s="600"/>
    </row>
    <row r="152" spans="1:9" ht="15">
      <c r="A152" s="21"/>
      <c r="B152" s="30"/>
      <c r="C152" s="575" t="s">
        <v>6</v>
      </c>
      <c r="D152" s="595" t="s">
        <v>582</v>
      </c>
      <c r="E152" s="22" t="s">
        <v>483</v>
      </c>
      <c r="F152" s="23" t="s">
        <v>2</v>
      </c>
      <c r="G152" s="586">
        <v>32</v>
      </c>
      <c r="H152" s="24"/>
      <c r="I152" s="599"/>
    </row>
    <row r="153" spans="1:9" ht="15">
      <c r="A153" s="21"/>
      <c r="B153" s="30"/>
      <c r="C153" s="575" t="s">
        <v>8</v>
      </c>
      <c r="D153" s="595" t="s">
        <v>581</v>
      </c>
      <c r="E153" s="22" t="s">
        <v>482</v>
      </c>
      <c r="F153" s="23" t="s">
        <v>2</v>
      </c>
      <c r="G153" s="586">
        <v>2</v>
      </c>
      <c r="H153" s="24"/>
      <c r="I153" s="599"/>
    </row>
    <row r="154" spans="1:9" ht="15">
      <c r="A154" s="25"/>
      <c r="B154" s="23"/>
      <c r="C154" s="575" t="s">
        <v>10</v>
      </c>
      <c r="D154" s="575" t="s">
        <v>635</v>
      </c>
      <c r="E154" s="26" t="s">
        <v>636</v>
      </c>
      <c r="F154" s="23" t="s">
        <v>2</v>
      </c>
      <c r="G154" s="584">
        <v>10</v>
      </c>
      <c r="H154" s="24"/>
      <c r="I154" s="599"/>
    </row>
    <row r="155" spans="1:9" ht="15">
      <c r="A155" s="25"/>
      <c r="B155" s="23"/>
      <c r="C155" s="575" t="s">
        <v>12</v>
      </c>
      <c r="D155" s="575" t="s">
        <v>594</v>
      </c>
      <c r="E155" s="26" t="s">
        <v>637</v>
      </c>
      <c r="F155" s="23" t="s">
        <v>20</v>
      </c>
      <c r="G155" s="584">
        <f>+(7.3+1.3*6)*1.8+(5.6+1.3*5)*1.8</f>
        <v>48.96000000000001</v>
      </c>
      <c r="H155" s="24"/>
      <c r="I155" s="599"/>
    </row>
    <row r="156" spans="1:9" ht="15">
      <c r="A156" s="25"/>
      <c r="B156" s="23"/>
      <c r="C156" s="575" t="s">
        <v>14</v>
      </c>
      <c r="D156" s="574" t="s">
        <v>604</v>
      </c>
      <c r="E156" s="26" t="s">
        <v>54</v>
      </c>
      <c r="F156" s="23" t="s">
        <v>2</v>
      </c>
      <c r="G156" s="584">
        <v>3</v>
      </c>
      <c r="H156" s="24"/>
      <c r="I156" s="599"/>
    </row>
    <row r="157" spans="1:9" ht="15">
      <c r="A157" s="21"/>
      <c r="B157" s="30"/>
      <c r="C157" s="575" t="s">
        <v>21</v>
      </c>
      <c r="D157" s="595" t="s">
        <v>568</v>
      </c>
      <c r="E157" s="22" t="s">
        <v>13</v>
      </c>
      <c r="F157" s="23" t="s">
        <v>2</v>
      </c>
      <c r="G157" s="586">
        <f>12*7+7</f>
        <v>91</v>
      </c>
      <c r="H157" s="24"/>
      <c r="I157" s="599"/>
    </row>
    <row r="158" spans="1:9" ht="15">
      <c r="A158" s="21"/>
      <c r="B158" s="30"/>
      <c r="C158" s="575" t="s">
        <v>27</v>
      </c>
      <c r="D158" s="575" t="s">
        <v>569</v>
      </c>
      <c r="E158" s="22" t="s">
        <v>484</v>
      </c>
      <c r="F158" s="23" t="s">
        <v>2</v>
      </c>
      <c r="G158" s="586">
        <v>16</v>
      </c>
      <c r="H158" s="578"/>
      <c r="I158" s="599"/>
    </row>
    <row r="159" spans="1:9" ht="15">
      <c r="A159" s="25"/>
      <c r="B159" s="23"/>
      <c r="C159" s="575" t="s">
        <v>29</v>
      </c>
      <c r="D159" s="575" t="s">
        <v>567</v>
      </c>
      <c r="E159" s="22" t="s">
        <v>485</v>
      </c>
      <c r="F159" s="23" t="s">
        <v>2</v>
      </c>
      <c r="G159" s="584">
        <v>5</v>
      </c>
      <c r="H159" s="578"/>
      <c r="I159" s="599"/>
    </row>
    <row r="160" spans="1:9" ht="15">
      <c r="A160" s="25"/>
      <c r="B160" s="23"/>
      <c r="C160" s="575" t="s">
        <v>502</v>
      </c>
      <c r="D160" s="575" t="s">
        <v>590</v>
      </c>
      <c r="E160" s="26" t="s">
        <v>486</v>
      </c>
      <c r="F160" s="23" t="s">
        <v>2</v>
      </c>
      <c r="G160" s="584">
        <v>2</v>
      </c>
      <c r="H160" s="578"/>
      <c r="I160" s="599"/>
    </row>
    <row r="161" spans="1:9" ht="15">
      <c r="A161" s="25"/>
      <c r="B161" s="23"/>
      <c r="C161" s="575" t="s">
        <v>503</v>
      </c>
      <c r="D161" s="575" t="s">
        <v>596</v>
      </c>
      <c r="E161" s="26" t="s">
        <v>487</v>
      </c>
      <c r="F161" s="23" t="s">
        <v>2</v>
      </c>
      <c r="G161" s="584">
        <v>1</v>
      </c>
      <c r="H161" s="578"/>
      <c r="I161" s="599"/>
    </row>
    <row r="162" spans="1:9" ht="15">
      <c r="A162" s="25"/>
      <c r="B162" s="23"/>
      <c r="C162" s="575"/>
      <c r="D162" s="575" t="s">
        <v>639</v>
      </c>
      <c r="E162" s="609" t="s">
        <v>638</v>
      </c>
      <c r="F162" s="23" t="s">
        <v>2</v>
      </c>
      <c r="G162" s="610">
        <v>1</v>
      </c>
      <c r="H162" s="611"/>
      <c r="I162" s="599"/>
    </row>
    <row r="163" spans="1:9" ht="15">
      <c r="A163" s="25"/>
      <c r="B163" s="23"/>
      <c r="C163" s="575" t="s">
        <v>504</v>
      </c>
      <c r="D163" s="595" t="s">
        <v>587</v>
      </c>
      <c r="E163" s="26" t="s">
        <v>489</v>
      </c>
      <c r="F163" s="23" t="s">
        <v>2</v>
      </c>
      <c r="G163" s="584">
        <v>2</v>
      </c>
      <c r="H163" s="578"/>
      <c r="I163" s="599"/>
    </row>
    <row r="164" spans="1:9" ht="15">
      <c r="A164" s="25"/>
      <c r="B164" s="23"/>
      <c r="C164" s="575" t="s">
        <v>505</v>
      </c>
      <c r="D164" s="575" t="s">
        <v>570</v>
      </c>
      <c r="E164" s="26" t="s">
        <v>490</v>
      </c>
      <c r="F164" s="23" t="s">
        <v>2</v>
      </c>
      <c r="G164" s="584">
        <v>2</v>
      </c>
      <c r="H164" s="578"/>
      <c r="I164" s="599"/>
    </row>
    <row r="165" spans="1:9" ht="15">
      <c r="A165" s="25"/>
      <c r="B165" s="23"/>
      <c r="C165" s="575" t="s">
        <v>506</v>
      </c>
      <c r="D165" s="575" t="s">
        <v>564</v>
      </c>
      <c r="E165" s="26" t="s">
        <v>491</v>
      </c>
      <c r="F165" s="23" t="s">
        <v>2</v>
      </c>
      <c r="G165" s="584">
        <v>2</v>
      </c>
      <c r="H165" s="578"/>
      <c r="I165" s="599"/>
    </row>
    <row r="166" spans="1:9" ht="15">
      <c r="A166" s="25"/>
      <c r="B166" s="23"/>
      <c r="C166" s="575" t="s">
        <v>507</v>
      </c>
      <c r="D166" s="575" t="s">
        <v>585</v>
      </c>
      <c r="E166" s="26" t="s">
        <v>492</v>
      </c>
      <c r="F166" s="23" t="s">
        <v>2</v>
      </c>
      <c r="G166" s="584">
        <v>1</v>
      </c>
      <c r="H166" s="578"/>
      <c r="I166" s="599"/>
    </row>
    <row r="167" spans="1:9" ht="15">
      <c r="A167" s="25"/>
      <c r="B167" s="23"/>
      <c r="C167" s="575" t="s">
        <v>508</v>
      </c>
      <c r="D167" s="575" t="s">
        <v>634</v>
      </c>
      <c r="E167" s="26" t="s">
        <v>493</v>
      </c>
      <c r="F167" s="23" t="s">
        <v>2</v>
      </c>
      <c r="G167" s="584">
        <v>1</v>
      </c>
      <c r="H167" s="578"/>
      <c r="I167" s="599"/>
    </row>
    <row r="168" spans="1:9" ht="15">
      <c r="A168" s="25"/>
      <c r="B168" s="23"/>
      <c r="C168" s="574" t="s">
        <v>509</v>
      </c>
      <c r="D168" s="574"/>
      <c r="E168" s="26" t="s">
        <v>494</v>
      </c>
      <c r="F168" s="23"/>
      <c r="G168" s="584"/>
      <c r="H168" s="24"/>
      <c r="I168" s="599"/>
    </row>
    <row r="169" spans="1:9" ht="15">
      <c r="A169" s="25"/>
      <c r="B169" s="23"/>
      <c r="C169" s="574" t="s">
        <v>510</v>
      </c>
      <c r="D169" s="596" t="s">
        <v>630</v>
      </c>
      <c r="E169" s="26" t="s">
        <v>103</v>
      </c>
      <c r="F169" s="23" t="s">
        <v>2</v>
      </c>
      <c r="G169" s="584">
        <v>1</v>
      </c>
      <c r="H169" s="24"/>
      <c r="I169" s="599"/>
    </row>
    <row r="170" spans="1:9" ht="15">
      <c r="A170" s="25"/>
      <c r="B170" s="23"/>
      <c r="C170" s="574" t="s">
        <v>511</v>
      </c>
      <c r="D170" s="596" t="s">
        <v>598</v>
      </c>
      <c r="E170" s="26" t="s">
        <v>72</v>
      </c>
      <c r="F170" s="23" t="s">
        <v>2</v>
      </c>
      <c r="G170" s="584">
        <v>6</v>
      </c>
      <c r="H170" s="24"/>
      <c r="I170" s="599"/>
    </row>
    <row r="171" spans="1:9" ht="15">
      <c r="A171" s="25"/>
      <c r="B171" s="23"/>
      <c r="C171" s="574" t="s">
        <v>512</v>
      </c>
      <c r="D171" s="574" t="s">
        <v>572</v>
      </c>
      <c r="E171" s="26" t="s">
        <v>495</v>
      </c>
      <c r="F171" s="23" t="s">
        <v>2</v>
      </c>
      <c r="G171" s="584">
        <v>1</v>
      </c>
      <c r="H171" s="578"/>
      <c r="I171" s="599"/>
    </row>
    <row r="172" spans="1:9" ht="15">
      <c r="A172" s="25"/>
      <c r="B172" s="23"/>
      <c r="C172" s="574" t="s">
        <v>513</v>
      </c>
      <c r="D172" s="574" t="s">
        <v>588</v>
      </c>
      <c r="E172" s="26" t="s">
        <v>496</v>
      </c>
      <c r="F172" s="23" t="s">
        <v>2</v>
      </c>
      <c r="G172" s="584">
        <v>1</v>
      </c>
      <c r="H172" s="578"/>
      <c r="I172" s="599"/>
    </row>
    <row r="173" spans="1:9" s="9" customFormat="1" ht="15">
      <c r="A173" s="21"/>
      <c r="B173" s="30"/>
      <c r="C173" s="574" t="s">
        <v>514</v>
      </c>
      <c r="D173" s="574" t="s">
        <v>562</v>
      </c>
      <c r="E173" s="22" t="s">
        <v>497</v>
      </c>
      <c r="F173" s="30" t="s">
        <v>2</v>
      </c>
      <c r="G173" s="584">
        <v>1</v>
      </c>
      <c r="H173" s="579"/>
      <c r="I173" s="602"/>
    </row>
    <row r="174" spans="1:9" ht="15">
      <c r="A174" s="21"/>
      <c r="B174" s="30"/>
      <c r="C174" s="574" t="s">
        <v>515</v>
      </c>
      <c r="D174" s="574" t="s">
        <v>568</v>
      </c>
      <c r="E174" s="22" t="s">
        <v>13</v>
      </c>
      <c r="F174" s="23" t="s">
        <v>2</v>
      </c>
      <c r="G174" s="586">
        <v>4</v>
      </c>
      <c r="H174" s="24"/>
      <c r="I174" s="599"/>
    </row>
    <row r="175" spans="1:9" ht="15">
      <c r="A175" s="25"/>
      <c r="B175" s="23"/>
      <c r="C175" s="574" t="s">
        <v>516</v>
      </c>
      <c r="D175" s="574" t="s">
        <v>591</v>
      </c>
      <c r="E175" s="26" t="s">
        <v>19</v>
      </c>
      <c r="F175" s="23" t="s">
        <v>20</v>
      </c>
      <c r="G175" s="584">
        <f>6.3*2.5+4.8*2.5+(6.5+1.4+2.5+2.4+1)*3.5</f>
        <v>76.05000000000001</v>
      </c>
      <c r="H175" s="24"/>
      <c r="I175" s="599"/>
    </row>
    <row r="176" spans="1:9" s="9" customFormat="1" ht="15">
      <c r="A176" s="29"/>
      <c r="B176" s="577"/>
      <c r="C176" s="574" t="s">
        <v>517</v>
      </c>
      <c r="D176" s="574" t="s">
        <v>565</v>
      </c>
      <c r="E176" s="22" t="s">
        <v>423</v>
      </c>
      <c r="F176" s="30" t="s">
        <v>20</v>
      </c>
      <c r="G176" s="584">
        <f>12.8*3.5</f>
        <v>44.800000000000004</v>
      </c>
      <c r="H176" s="24"/>
      <c r="I176" s="599"/>
    </row>
    <row r="177" spans="1:9" s="9" customFormat="1" ht="15">
      <c r="A177" s="29"/>
      <c r="B177" s="577"/>
      <c r="C177" s="574" t="s">
        <v>518</v>
      </c>
      <c r="D177" s="574" t="s">
        <v>559</v>
      </c>
      <c r="E177" s="22" t="s">
        <v>498</v>
      </c>
      <c r="F177" s="30" t="s">
        <v>2</v>
      </c>
      <c r="G177" s="584">
        <v>2</v>
      </c>
      <c r="H177" s="578"/>
      <c r="I177" s="599"/>
    </row>
    <row r="178" spans="1:9" s="9" customFormat="1" ht="15">
      <c r="A178" s="29"/>
      <c r="B178" s="577"/>
      <c r="C178" s="574" t="s">
        <v>519</v>
      </c>
      <c r="D178" s="574" t="s">
        <v>563</v>
      </c>
      <c r="E178" s="22" t="s">
        <v>499</v>
      </c>
      <c r="F178" s="30" t="s">
        <v>2</v>
      </c>
      <c r="G178" s="584">
        <v>1</v>
      </c>
      <c r="H178" s="578"/>
      <c r="I178" s="599"/>
    </row>
    <row r="179" spans="1:9" ht="15">
      <c r="A179" s="25"/>
      <c r="B179" s="23"/>
      <c r="C179" s="574" t="s">
        <v>520</v>
      </c>
      <c r="D179" s="574" t="s">
        <v>627</v>
      </c>
      <c r="E179" s="26" t="s">
        <v>68</v>
      </c>
      <c r="F179" s="23" t="s">
        <v>2</v>
      </c>
      <c r="G179" s="584">
        <v>2</v>
      </c>
      <c r="H179" s="24"/>
      <c r="I179" s="599"/>
    </row>
    <row r="180" spans="1:9" ht="15">
      <c r="A180" s="25"/>
      <c r="B180" s="23"/>
      <c r="C180" s="574" t="s">
        <v>521</v>
      </c>
      <c r="D180" s="574" t="s">
        <v>628</v>
      </c>
      <c r="E180" s="26" t="s">
        <v>208</v>
      </c>
      <c r="F180" s="23" t="s">
        <v>2</v>
      </c>
      <c r="G180" s="584">
        <v>1</v>
      </c>
      <c r="H180" s="24"/>
      <c r="I180" s="599"/>
    </row>
    <row r="181" spans="1:9" ht="15">
      <c r="A181" s="25"/>
      <c r="B181" s="23"/>
      <c r="C181" s="574" t="s">
        <v>522</v>
      </c>
      <c r="D181" s="574" t="s">
        <v>575</v>
      </c>
      <c r="E181" s="26" t="s">
        <v>66</v>
      </c>
      <c r="F181" s="23" t="s">
        <v>2</v>
      </c>
      <c r="G181" s="584">
        <v>2</v>
      </c>
      <c r="H181" s="24"/>
      <c r="I181" s="599"/>
    </row>
    <row r="182" spans="1:9" ht="15">
      <c r="A182" s="25"/>
      <c r="B182" s="23"/>
      <c r="C182" s="574" t="s">
        <v>523</v>
      </c>
      <c r="D182" s="574" t="s">
        <v>589</v>
      </c>
      <c r="E182" s="26" t="s">
        <v>500</v>
      </c>
      <c r="F182" s="23" t="s">
        <v>358</v>
      </c>
      <c r="G182" s="584">
        <v>4.5</v>
      </c>
      <c r="H182" s="578"/>
      <c r="I182" s="599"/>
    </row>
    <row r="183" spans="1:9" ht="15">
      <c r="A183" s="21"/>
      <c r="B183" s="30"/>
      <c r="C183" s="574" t="s">
        <v>524</v>
      </c>
      <c r="D183" s="574" t="s">
        <v>621</v>
      </c>
      <c r="E183" s="22" t="s">
        <v>30</v>
      </c>
      <c r="F183" s="23" t="s">
        <v>2</v>
      </c>
      <c r="G183" s="586">
        <f>+G152*4+G153*6+G156*3+G154</f>
        <v>159</v>
      </c>
      <c r="H183" s="24"/>
      <c r="I183" s="599"/>
    </row>
    <row r="184" spans="1:9" ht="15">
      <c r="A184" s="25"/>
      <c r="B184" s="23"/>
      <c r="C184" s="574" t="s">
        <v>525</v>
      </c>
      <c r="D184" s="596" t="s">
        <v>611</v>
      </c>
      <c r="E184" s="26" t="s">
        <v>28</v>
      </c>
      <c r="F184" s="23" t="s">
        <v>2</v>
      </c>
      <c r="G184" s="584">
        <v>10</v>
      </c>
      <c r="H184" s="24"/>
      <c r="I184" s="599"/>
    </row>
    <row r="185" spans="1:9" ht="15">
      <c r="A185" s="25"/>
      <c r="B185" s="23"/>
      <c r="C185" s="574" t="s">
        <v>526</v>
      </c>
      <c r="D185" s="574" t="s">
        <v>608</v>
      </c>
      <c r="E185" s="603" t="s">
        <v>94</v>
      </c>
      <c r="F185" s="604" t="s">
        <v>2</v>
      </c>
      <c r="G185" s="605">
        <v>2</v>
      </c>
      <c r="H185" s="578"/>
      <c r="I185" s="606"/>
    </row>
    <row r="186" spans="1:9" ht="15">
      <c r="A186" s="25"/>
      <c r="B186" s="23"/>
      <c r="C186" s="574" t="s">
        <v>527</v>
      </c>
      <c r="D186" s="574" t="s">
        <v>619</v>
      </c>
      <c r="E186" s="26" t="s">
        <v>501</v>
      </c>
      <c r="F186" s="23" t="s">
        <v>2</v>
      </c>
      <c r="G186" s="584">
        <v>6</v>
      </c>
      <c r="H186" s="24"/>
      <c r="I186" s="599"/>
    </row>
    <row r="187" spans="1:9" ht="15">
      <c r="A187" s="25"/>
      <c r="B187" s="23"/>
      <c r="C187" s="574"/>
      <c r="D187" s="574" t="s">
        <v>640</v>
      </c>
      <c r="E187" s="26" t="s">
        <v>641</v>
      </c>
      <c r="F187" s="23" t="s">
        <v>642</v>
      </c>
      <c r="G187" s="584">
        <v>1</v>
      </c>
      <c r="H187" s="24"/>
      <c r="I187" s="599"/>
    </row>
    <row r="188" spans="1:9" s="2" customFormat="1" ht="15">
      <c r="A188" s="17"/>
      <c r="B188" s="19">
        <v>2</v>
      </c>
      <c r="C188" s="573"/>
      <c r="D188" s="573"/>
      <c r="E188" s="18" t="s">
        <v>528</v>
      </c>
      <c r="F188" s="19"/>
      <c r="G188" s="585"/>
      <c r="H188" s="27"/>
      <c r="I188" s="600"/>
    </row>
    <row r="189" spans="1:9" s="9" customFormat="1" ht="15">
      <c r="A189" s="29"/>
      <c r="B189" s="577"/>
      <c r="C189" s="574" t="s">
        <v>33</v>
      </c>
      <c r="D189" s="574" t="s">
        <v>565</v>
      </c>
      <c r="E189" s="22" t="s">
        <v>423</v>
      </c>
      <c r="F189" s="30" t="s">
        <v>20</v>
      </c>
      <c r="G189" s="584">
        <f>(12.9*2+5)*3.5</f>
        <v>107.8</v>
      </c>
      <c r="H189" s="24"/>
      <c r="I189" s="599"/>
    </row>
    <row r="190" spans="1:9" s="2" customFormat="1" ht="15">
      <c r="A190" s="17"/>
      <c r="B190" s="19">
        <v>3</v>
      </c>
      <c r="C190" s="573"/>
      <c r="D190" s="573"/>
      <c r="E190" s="18" t="s">
        <v>529</v>
      </c>
      <c r="F190" s="19"/>
      <c r="G190" s="585"/>
      <c r="H190" s="27"/>
      <c r="I190" s="600"/>
    </row>
    <row r="191" spans="1:9" ht="15">
      <c r="A191" s="25"/>
      <c r="B191" s="23"/>
      <c r="C191" s="574" t="s">
        <v>43</v>
      </c>
      <c r="D191" s="596" t="s">
        <v>602</v>
      </c>
      <c r="E191" s="26" t="s">
        <v>124</v>
      </c>
      <c r="F191" s="23" t="s">
        <v>2</v>
      </c>
      <c r="G191" s="584">
        <v>1</v>
      </c>
      <c r="H191" s="24"/>
      <c r="I191" s="599"/>
    </row>
    <row r="192" spans="1:9" ht="15">
      <c r="A192" s="25"/>
      <c r="B192" s="23"/>
      <c r="C192" s="574" t="s">
        <v>45</v>
      </c>
      <c r="D192" s="574"/>
      <c r="E192" s="26" t="s">
        <v>221</v>
      </c>
      <c r="F192" s="23"/>
      <c r="G192" s="584"/>
      <c r="H192" s="24"/>
      <c r="I192" s="599"/>
    </row>
    <row r="193" spans="1:9" ht="15">
      <c r="A193" s="25"/>
      <c r="B193" s="23"/>
      <c r="C193" s="574" t="s">
        <v>425</v>
      </c>
      <c r="D193" s="574" t="s">
        <v>633</v>
      </c>
      <c r="E193" s="26" t="s">
        <v>114</v>
      </c>
      <c r="F193" s="23" t="s">
        <v>2</v>
      </c>
      <c r="G193" s="584">
        <v>1</v>
      </c>
      <c r="H193" s="24"/>
      <c r="I193" s="599"/>
    </row>
    <row r="194" spans="1:9" ht="15">
      <c r="A194" s="25"/>
      <c r="B194" s="23"/>
      <c r="C194" s="574" t="s">
        <v>530</v>
      </c>
      <c r="D194" s="596" t="s">
        <v>591</v>
      </c>
      <c r="E194" s="26" t="s">
        <v>89</v>
      </c>
      <c r="F194" s="23" t="s">
        <v>20</v>
      </c>
      <c r="G194" s="584">
        <f>7.5*2</f>
        <v>15</v>
      </c>
      <c r="H194" s="24"/>
      <c r="I194" s="599"/>
    </row>
    <row r="195" spans="1:9" ht="15">
      <c r="A195" s="25"/>
      <c r="B195" s="23"/>
      <c r="C195" s="574" t="s">
        <v>47</v>
      </c>
      <c r="D195" s="596" t="s">
        <v>577</v>
      </c>
      <c r="E195" s="26" t="s">
        <v>225</v>
      </c>
      <c r="F195" s="23" t="s">
        <v>2</v>
      </c>
      <c r="G195" s="584">
        <v>1</v>
      </c>
      <c r="H195" s="24"/>
      <c r="I195" s="599"/>
    </row>
    <row r="196" spans="1:9" ht="15">
      <c r="A196" s="25"/>
      <c r="B196" s="23"/>
      <c r="C196" s="574" t="s">
        <v>531</v>
      </c>
      <c r="D196" s="574" t="s">
        <v>611</v>
      </c>
      <c r="E196" s="26" t="s">
        <v>28</v>
      </c>
      <c r="F196" s="23" t="s">
        <v>2</v>
      </c>
      <c r="G196" s="584">
        <v>2</v>
      </c>
      <c r="H196" s="24"/>
      <c r="I196" s="599"/>
    </row>
    <row r="197" spans="1:9" ht="15">
      <c r="A197" s="25"/>
      <c r="B197" s="23"/>
      <c r="C197" s="574" t="s">
        <v>532</v>
      </c>
      <c r="D197" s="574" t="s">
        <v>608</v>
      </c>
      <c r="E197" s="26" t="s">
        <v>94</v>
      </c>
      <c r="F197" s="23" t="s">
        <v>2</v>
      </c>
      <c r="G197" s="584">
        <v>2</v>
      </c>
      <c r="H197" s="24"/>
      <c r="I197" s="599"/>
    </row>
    <row r="198" spans="1:9" ht="15">
      <c r="A198" s="25"/>
      <c r="B198" s="23"/>
      <c r="C198" s="574" t="s">
        <v>533</v>
      </c>
      <c r="D198" s="574" t="s">
        <v>615</v>
      </c>
      <c r="E198" s="26" t="s">
        <v>96</v>
      </c>
      <c r="F198" s="23" t="s">
        <v>2</v>
      </c>
      <c r="G198" s="584">
        <v>8</v>
      </c>
      <c r="H198" s="24"/>
      <c r="I198" s="599"/>
    </row>
    <row r="199" spans="1:9" ht="15">
      <c r="A199" s="25"/>
      <c r="B199" s="23"/>
      <c r="C199" s="574" t="s">
        <v>534</v>
      </c>
      <c r="D199" s="574"/>
      <c r="E199" s="26" t="s">
        <v>228</v>
      </c>
      <c r="F199" s="23"/>
      <c r="G199" s="584"/>
      <c r="H199" s="24"/>
      <c r="I199" s="599"/>
    </row>
    <row r="200" spans="1:9" ht="15">
      <c r="A200" s="25"/>
      <c r="B200" s="23"/>
      <c r="C200" s="574" t="s">
        <v>535</v>
      </c>
      <c r="D200" s="574" t="s">
        <v>631</v>
      </c>
      <c r="E200" s="26" t="s">
        <v>76</v>
      </c>
      <c r="F200" s="23" t="s">
        <v>2</v>
      </c>
      <c r="G200" s="584">
        <v>6</v>
      </c>
      <c r="H200" s="24"/>
      <c r="I200" s="599"/>
    </row>
    <row r="201" spans="1:9" ht="15">
      <c r="A201" s="25"/>
      <c r="B201" s="23"/>
      <c r="C201" s="574" t="s">
        <v>536</v>
      </c>
      <c r="D201" s="574" t="s">
        <v>592</v>
      </c>
      <c r="E201" s="26" t="s">
        <v>26</v>
      </c>
      <c r="F201" s="23" t="s">
        <v>20</v>
      </c>
      <c r="G201" s="584">
        <f>7*5.4*2</f>
        <v>75.60000000000001</v>
      </c>
      <c r="H201" s="24"/>
      <c r="I201" s="599"/>
    </row>
    <row r="202" spans="1:9" ht="15">
      <c r="A202" s="25"/>
      <c r="B202" s="23"/>
      <c r="C202" s="574" t="s">
        <v>539</v>
      </c>
      <c r="D202" s="574" t="s">
        <v>611</v>
      </c>
      <c r="E202" s="26" t="s">
        <v>28</v>
      </c>
      <c r="F202" s="23" t="s">
        <v>2</v>
      </c>
      <c r="G202" s="584">
        <v>6</v>
      </c>
      <c r="H202" s="24"/>
      <c r="I202" s="599"/>
    </row>
    <row r="203" spans="1:9" ht="15">
      <c r="A203" s="25"/>
      <c r="B203" s="23"/>
      <c r="C203" s="574" t="s">
        <v>540</v>
      </c>
      <c r="D203" s="574" t="s">
        <v>608</v>
      </c>
      <c r="E203" s="26" t="s">
        <v>94</v>
      </c>
      <c r="F203" s="23" t="s">
        <v>2</v>
      </c>
      <c r="G203" s="584">
        <v>12</v>
      </c>
      <c r="H203" s="24"/>
      <c r="I203" s="599"/>
    </row>
    <row r="204" spans="1:9" ht="15">
      <c r="A204" s="25"/>
      <c r="B204" s="23"/>
      <c r="C204" s="574" t="s">
        <v>429</v>
      </c>
      <c r="D204" s="574" t="s">
        <v>560</v>
      </c>
      <c r="E204" s="26" t="s">
        <v>538</v>
      </c>
      <c r="F204" s="23" t="s">
        <v>2</v>
      </c>
      <c r="G204" s="584">
        <v>1</v>
      </c>
      <c r="H204" s="578"/>
      <c r="I204" s="599"/>
    </row>
    <row r="205" spans="1:9" s="2" customFormat="1" ht="15">
      <c r="A205" s="17"/>
      <c r="B205" s="19">
        <v>4</v>
      </c>
      <c r="C205" s="573"/>
      <c r="D205" s="573"/>
      <c r="E205" s="18" t="s">
        <v>537</v>
      </c>
      <c r="F205" s="19"/>
      <c r="G205" s="585"/>
      <c r="H205" s="27"/>
      <c r="I205" s="600"/>
    </row>
    <row r="206" spans="1:9" ht="15">
      <c r="A206" s="25"/>
      <c r="B206" s="23"/>
      <c r="C206" s="574" t="s">
        <v>49</v>
      </c>
      <c r="D206" s="574" t="s">
        <v>602</v>
      </c>
      <c r="E206" s="26" t="s">
        <v>124</v>
      </c>
      <c r="F206" s="23" t="s">
        <v>2</v>
      </c>
      <c r="G206" s="584">
        <v>1</v>
      </c>
      <c r="H206" s="24"/>
      <c r="I206" s="599"/>
    </row>
    <row r="207" spans="1:9" ht="15">
      <c r="A207" s="25"/>
      <c r="B207" s="23"/>
      <c r="C207" s="574" t="s">
        <v>51</v>
      </c>
      <c r="D207" s="574"/>
      <c r="E207" s="26" t="s">
        <v>221</v>
      </c>
      <c r="F207" s="23"/>
      <c r="G207" s="584"/>
      <c r="H207" s="24"/>
      <c r="I207" s="599"/>
    </row>
    <row r="208" spans="1:9" ht="15">
      <c r="A208" s="25"/>
      <c r="B208" s="23"/>
      <c r="C208" s="574" t="s">
        <v>541</v>
      </c>
      <c r="D208" s="574" t="s">
        <v>633</v>
      </c>
      <c r="E208" s="26" t="s">
        <v>114</v>
      </c>
      <c r="F208" s="23" t="s">
        <v>2</v>
      </c>
      <c r="G208" s="584">
        <v>1</v>
      </c>
      <c r="H208" s="24"/>
      <c r="I208" s="599"/>
    </row>
    <row r="209" spans="1:9" ht="15">
      <c r="A209" s="25"/>
      <c r="B209" s="23"/>
      <c r="C209" s="574" t="s">
        <v>542</v>
      </c>
      <c r="D209" s="574" t="s">
        <v>591</v>
      </c>
      <c r="E209" s="26" t="s">
        <v>89</v>
      </c>
      <c r="F209" s="23" t="s">
        <v>20</v>
      </c>
      <c r="G209" s="584">
        <f>15.6*2</f>
        <v>31.2</v>
      </c>
      <c r="H209" s="24"/>
      <c r="I209" s="599"/>
    </row>
    <row r="210" spans="1:9" ht="15">
      <c r="A210" s="25"/>
      <c r="B210" s="23"/>
      <c r="C210" s="574" t="s">
        <v>464</v>
      </c>
      <c r="D210" s="574" t="s">
        <v>577</v>
      </c>
      <c r="E210" s="26" t="s">
        <v>225</v>
      </c>
      <c r="F210" s="23" t="s">
        <v>2</v>
      </c>
      <c r="G210" s="584">
        <v>1</v>
      </c>
      <c r="H210" s="24"/>
      <c r="I210" s="599"/>
    </row>
    <row r="211" spans="1:9" ht="15">
      <c r="A211" s="25"/>
      <c r="B211" s="23"/>
      <c r="C211" s="574" t="s">
        <v>465</v>
      </c>
      <c r="D211" s="574" t="s">
        <v>611</v>
      </c>
      <c r="E211" s="26" t="s">
        <v>28</v>
      </c>
      <c r="F211" s="23" t="s">
        <v>2</v>
      </c>
      <c r="G211" s="584">
        <v>2</v>
      </c>
      <c r="H211" s="24"/>
      <c r="I211" s="599"/>
    </row>
    <row r="212" spans="1:9" ht="15">
      <c r="A212" s="25"/>
      <c r="B212" s="23"/>
      <c r="C212" s="574" t="s">
        <v>543</v>
      </c>
      <c r="D212" s="574" t="s">
        <v>608</v>
      </c>
      <c r="E212" s="26" t="s">
        <v>94</v>
      </c>
      <c r="F212" s="23" t="s">
        <v>2</v>
      </c>
      <c r="G212" s="584">
        <v>2</v>
      </c>
      <c r="H212" s="24"/>
      <c r="I212" s="599"/>
    </row>
    <row r="213" spans="1:9" ht="15">
      <c r="A213" s="25"/>
      <c r="B213" s="23"/>
      <c r="C213" s="574" t="s">
        <v>544</v>
      </c>
      <c r="D213" s="574" t="s">
        <v>615</v>
      </c>
      <c r="E213" s="26" t="s">
        <v>96</v>
      </c>
      <c r="F213" s="23" t="s">
        <v>2</v>
      </c>
      <c r="G213" s="584">
        <v>8</v>
      </c>
      <c r="H213" s="24"/>
      <c r="I213" s="599"/>
    </row>
    <row r="214" spans="1:9" ht="15">
      <c r="A214" s="25"/>
      <c r="B214" s="23"/>
      <c r="C214" s="574" t="s">
        <v>545</v>
      </c>
      <c r="D214" s="574"/>
      <c r="E214" s="26" t="s">
        <v>228</v>
      </c>
      <c r="F214" s="23"/>
      <c r="G214" s="584"/>
      <c r="H214" s="24"/>
      <c r="I214" s="599"/>
    </row>
    <row r="215" spans="1:9" ht="15">
      <c r="A215" s="25"/>
      <c r="B215" s="23"/>
      <c r="C215" s="574" t="s">
        <v>546</v>
      </c>
      <c r="D215" s="574" t="s">
        <v>631</v>
      </c>
      <c r="E215" s="26" t="s">
        <v>76</v>
      </c>
      <c r="F215" s="23" t="s">
        <v>2</v>
      </c>
      <c r="G215" s="584">
        <v>13</v>
      </c>
      <c r="H215" s="24"/>
      <c r="I215" s="599"/>
    </row>
    <row r="216" spans="1:9" ht="15">
      <c r="A216" s="25"/>
      <c r="B216" s="23"/>
      <c r="C216" s="574" t="s">
        <v>547</v>
      </c>
      <c r="D216" s="574" t="s">
        <v>592</v>
      </c>
      <c r="E216" s="26" t="s">
        <v>26</v>
      </c>
      <c r="F216" s="23" t="s">
        <v>20</v>
      </c>
      <c r="G216" s="584">
        <f>15*5.4*2</f>
        <v>162</v>
      </c>
      <c r="H216" s="24"/>
      <c r="I216" s="599"/>
    </row>
    <row r="217" spans="1:9" ht="15">
      <c r="A217" s="25"/>
      <c r="B217" s="23"/>
      <c r="C217" s="574" t="s">
        <v>548</v>
      </c>
      <c r="D217" s="574" t="s">
        <v>611</v>
      </c>
      <c r="E217" s="26" t="s">
        <v>28</v>
      </c>
      <c r="F217" s="23" t="s">
        <v>2</v>
      </c>
      <c r="G217" s="584">
        <v>13</v>
      </c>
      <c r="H217" s="24"/>
      <c r="I217" s="599"/>
    </row>
    <row r="218" spans="1:9" ht="15">
      <c r="A218" s="25"/>
      <c r="B218" s="23"/>
      <c r="C218" s="574" t="s">
        <v>432</v>
      </c>
      <c r="D218" s="574" t="s">
        <v>608</v>
      </c>
      <c r="E218" s="26" t="s">
        <v>94</v>
      </c>
      <c r="F218" s="23" t="s">
        <v>2</v>
      </c>
      <c r="G218" s="584">
        <f>+G215*2</f>
        <v>26</v>
      </c>
      <c r="H218" s="24"/>
      <c r="I218" s="599"/>
    </row>
    <row r="219" spans="1:9" ht="15">
      <c r="A219" s="25"/>
      <c r="B219" s="23"/>
      <c r="C219" s="574" t="s">
        <v>433</v>
      </c>
      <c r="D219" s="574" t="s">
        <v>560</v>
      </c>
      <c r="E219" s="26" t="s">
        <v>538</v>
      </c>
      <c r="F219" s="23" t="s">
        <v>2</v>
      </c>
      <c r="G219" s="584">
        <v>1</v>
      </c>
      <c r="H219" s="578"/>
      <c r="I219" s="599"/>
    </row>
    <row r="220" spans="1:9" s="2" customFormat="1" ht="15">
      <c r="A220" s="17"/>
      <c r="B220" s="19">
        <v>5</v>
      </c>
      <c r="C220" s="573"/>
      <c r="D220" s="573"/>
      <c r="E220" s="18" t="s">
        <v>549</v>
      </c>
      <c r="F220" s="19"/>
      <c r="G220" s="585"/>
      <c r="H220" s="27"/>
      <c r="I220" s="600"/>
    </row>
    <row r="221" spans="1:9" ht="15">
      <c r="A221" s="25"/>
      <c r="B221" s="23"/>
      <c r="C221" s="574" t="s">
        <v>520</v>
      </c>
      <c r="D221" s="596" t="s">
        <v>627</v>
      </c>
      <c r="E221" s="26" t="s">
        <v>68</v>
      </c>
      <c r="F221" s="23" t="s">
        <v>2</v>
      </c>
      <c r="G221" s="584">
        <v>2</v>
      </c>
      <c r="H221" s="24"/>
      <c r="I221" s="599"/>
    </row>
    <row r="222" spans="1:9" ht="15">
      <c r="A222" s="25"/>
      <c r="B222" s="23"/>
      <c r="C222" s="574" t="s">
        <v>521</v>
      </c>
      <c r="D222" s="596" t="s">
        <v>628</v>
      </c>
      <c r="E222" s="26" t="s">
        <v>208</v>
      </c>
      <c r="F222" s="23" t="s">
        <v>2</v>
      </c>
      <c r="G222" s="584">
        <v>1</v>
      </c>
      <c r="H222" s="24"/>
      <c r="I222" s="599"/>
    </row>
    <row r="223" spans="1:9" ht="15">
      <c r="A223" s="25"/>
      <c r="B223" s="23"/>
      <c r="C223" s="574" t="s">
        <v>522</v>
      </c>
      <c r="D223" s="596" t="s">
        <v>575</v>
      </c>
      <c r="E223" s="26" t="s">
        <v>66</v>
      </c>
      <c r="F223" s="23" t="s">
        <v>2</v>
      </c>
      <c r="G223" s="584">
        <v>4</v>
      </c>
      <c r="H223" s="24"/>
      <c r="I223" s="599"/>
    </row>
    <row r="224" spans="1:9" s="2" customFormat="1" ht="15">
      <c r="A224" s="17"/>
      <c r="B224" s="19">
        <v>6</v>
      </c>
      <c r="C224" s="573"/>
      <c r="D224" s="573"/>
      <c r="E224" s="18" t="s">
        <v>550</v>
      </c>
      <c r="F224" s="19"/>
      <c r="G224" s="585"/>
      <c r="H224" s="27"/>
      <c r="I224" s="600"/>
    </row>
    <row r="225" spans="1:9" ht="15">
      <c r="A225" s="25"/>
      <c r="B225" s="23"/>
      <c r="C225" s="574" t="s">
        <v>49</v>
      </c>
      <c r="D225" s="574" t="s">
        <v>602</v>
      </c>
      <c r="E225" s="26" t="s">
        <v>124</v>
      </c>
      <c r="F225" s="23" t="s">
        <v>2</v>
      </c>
      <c r="G225" s="584">
        <v>2</v>
      </c>
      <c r="H225" s="24"/>
      <c r="I225" s="599"/>
    </row>
    <row r="226" spans="1:9" ht="15">
      <c r="A226" s="25"/>
      <c r="B226" s="23"/>
      <c r="C226" s="574" t="s">
        <v>51</v>
      </c>
      <c r="D226" s="574"/>
      <c r="E226" s="26" t="s">
        <v>221</v>
      </c>
      <c r="F226" s="23"/>
      <c r="G226" s="584"/>
      <c r="H226" s="24"/>
      <c r="I226" s="599"/>
    </row>
    <row r="227" spans="1:9" ht="15">
      <c r="A227" s="25"/>
      <c r="B227" s="23"/>
      <c r="C227" s="574" t="s">
        <v>541</v>
      </c>
      <c r="D227" s="574" t="s">
        <v>633</v>
      </c>
      <c r="E227" s="26" t="s">
        <v>114</v>
      </c>
      <c r="F227" s="23" t="s">
        <v>2</v>
      </c>
      <c r="G227" s="584">
        <v>2</v>
      </c>
      <c r="H227" s="24"/>
      <c r="I227" s="599"/>
    </row>
    <row r="228" spans="1:9" ht="15">
      <c r="A228" s="25"/>
      <c r="B228" s="23"/>
      <c r="C228" s="574" t="s">
        <v>542</v>
      </c>
      <c r="D228" s="574" t="s">
        <v>591</v>
      </c>
      <c r="E228" s="26" t="s">
        <v>89</v>
      </c>
      <c r="F228" s="23" t="s">
        <v>20</v>
      </c>
      <c r="G228" s="584">
        <f>7.4*2+8.4*2</f>
        <v>31.6</v>
      </c>
      <c r="H228" s="24"/>
      <c r="I228" s="599"/>
    </row>
    <row r="229" spans="1:9" ht="15">
      <c r="A229" s="25"/>
      <c r="B229" s="23"/>
      <c r="C229" s="574" t="s">
        <v>464</v>
      </c>
      <c r="D229" s="574" t="s">
        <v>577</v>
      </c>
      <c r="E229" s="26" t="s">
        <v>225</v>
      </c>
      <c r="F229" s="23" t="s">
        <v>2</v>
      </c>
      <c r="G229" s="584">
        <v>1</v>
      </c>
      <c r="H229" s="24"/>
      <c r="I229" s="599"/>
    </row>
    <row r="230" spans="1:9" ht="15">
      <c r="A230" s="25"/>
      <c r="B230" s="23"/>
      <c r="C230" s="574" t="s">
        <v>465</v>
      </c>
      <c r="D230" s="574" t="s">
        <v>611</v>
      </c>
      <c r="E230" s="26" t="s">
        <v>28</v>
      </c>
      <c r="F230" s="23" t="s">
        <v>2</v>
      </c>
      <c r="G230" s="584">
        <v>4</v>
      </c>
      <c r="H230" s="24"/>
      <c r="I230" s="599"/>
    </row>
    <row r="231" spans="1:9" ht="15">
      <c r="A231" s="25"/>
      <c r="B231" s="23"/>
      <c r="C231" s="574" t="s">
        <v>543</v>
      </c>
      <c r="D231" s="574" t="s">
        <v>608</v>
      </c>
      <c r="E231" s="26" t="s">
        <v>94</v>
      </c>
      <c r="F231" s="23" t="s">
        <v>2</v>
      </c>
      <c r="G231" s="584">
        <v>4</v>
      </c>
      <c r="H231" s="24"/>
      <c r="I231" s="599"/>
    </row>
    <row r="232" spans="1:9" ht="15">
      <c r="A232" s="25"/>
      <c r="B232" s="23"/>
      <c r="C232" s="574" t="s">
        <v>544</v>
      </c>
      <c r="D232" s="574" t="s">
        <v>615</v>
      </c>
      <c r="E232" s="26" t="s">
        <v>96</v>
      </c>
      <c r="F232" s="23" t="s">
        <v>2</v>
      </c>
      <c r="G232" s="584">
        <v>8</v>
      </c>
      <c r="H232" s="24"/>
      <c r="I232" s="599"/>
    </row>
    <row r="233" spans="1:9" ht="15">
      <c r="A233" s="25"/>
      <c r="B233" s="23"/>
      <c r="C233" s="574" t="s">
        <v>545</v>
      </c>
      <c r="D233" s="574"/>
      <c r="E233" s="26" t="s">
        <v>228</v>
      </c>
      <c r="F233" s="23"/>
      <c r="G233" s="584"/>
      <c r="H233" s="24"/>
      <c r="I233" s="599"/>
    </row>
    <row r="234" spans="1:9" ht="15">
      <c r="A234" s="25"/>
      <c r="B234" s="23"/>
      <c r="C234" s="574" t="s">
        <v>546</v>
      </c>
      <c r="D234" s="574" t="s">
        <v>631</v>
      </c>
      <c r="E234" s="26" t="s">
        <v>76</v>
      </c>
      <c r="F234" s="23" t="s">
        <v>2</v>
      </c>
      <c r="G234" s="584">
        <v>16</v>
      </c>
      <c r="H234" s="24"/>
      <c r="I234" s="599"/>
    </row>
    <row r="235" spans="1:9" ht="15">
      <c r="A235" s="25"/>
      <c r="B235" s="23"/>
      <c r="C235" s="574" t="s">
        <v>547</v>
      </c>
      <c r="D235" s="574" t="s">
        <v>592</v>
      </c>
      <c r="E235" s="26" t="s">
        <v>26</v>
      </c>
      <c r="F235" s="23" t="s">
        <v>20</v>
      </c>
      <c r="G235" s="584">
        <f>18*5.4*2</f>
        <v>194.4</v>
      </c>
      <c r="H235" s="24"/>
      <c r="I235" s="599"/>
    </row>
    <row r="236" spans="1:9" ht="15">
      <c r="A236" s="25"/>
      <c r="B236" s="23"/>
      <c r="C236" s="574" t="s">
        <v>548</v>
      </c>
      <c r="D236" s="596" t="s">
        <v>611</v>
      </c>
      <c r="E236" s="26" t="s">
        <v>28</v>
      </c>
      <c r="F236" s="23" t="s">
        <v>2</v>
      </c>
      <c r="G236" s="584">
        <f>+G234</f>
        <v>16</v>
      </c>
      <c r="H236" s="24"/>
      <c r="I236" s="599"/>
    </row>
    <row r="237" spans="1:9" ht="15">
      <c r="A237" s="25"/>
      <c r="B237" s="23"/>
      <c r="C237" s="574" t="s">
        <v>432</v>
      </c>
      <c r="D237" s="574" t="s">
        <v>608</v>
      </c>
      <c r="E237" s="26" t="s">
        <v>94</v>
      </c>
      <c r="F237" s="23" t="s">
        <v>2</v>
      </c>
      <c r="G237" s="584">
        <f>+G234*2</f>
        <v>32</v>
      </c>
      <c r="H237" s="24"/>
      <c r="I237" s="599"/>
    </row>
    <row r="238" spans="1:9" ht="15">
      <c r="A238" s="25"/>
      <c r="B238" s="23"/>
      <c r="C238" s="574" t="s">
        <v>433</v>
      </c>
      <c r="D238" s="574" t="s">
        <v>560</v>
      </c>
      <c r="E238" s="26" t="s">
        <v>538</v>
      </c>
      <c r="F238" s="23" t="s">
        <v>2</v>
      </c>
      <c r="G238" s="584">
        <v>2</v>
      </c>
      <c r="H238" s="578"/>
      <c r="I238" s="599"/>
    </row>
    <row r="239" spans="1:9" s="2" customFormat="1" ht="15">
      <c r="A239" s="17"/>
      <c r="B239" s="19">
        <v>6</v>
      </c>
      <c r="C239" s="573"/>
      <c r="D239" s="573"/>
      <c r="E239" s="18" t="s">
        <v>551</v>
      </c>
      <c r="F239" s="19"/>
      <c r="G239" s="585"/>
      <c r="H239" s="27"/>
      <c r="I239" s="600"/>
    </row>
    <row r="240" spans="1:9" ht="15">
      <c r="A240" s="25"/>
      <c r="B240" s="23"/>
      <c r="C240" s="574">
        <v>21.1</v>
      </c>
      <c r="D240" s="574" t="s">
        <v>625</v>
      </c>
      <c r="E240" s="26" t="s">
        <v>242</v>
      </c>
      <c r="F240" s="23" t="s">
        <v>2</v>
      </c>
      <c r="G240" s="584">
        <v>12</v>
      </c>
      <c r="H240" s="24"/>
      <c r="I240" s="599"/>
    </row>
    <row r="241" spans="1:9" ht="15">
      <c r="A241" s="25"/>
      <c r="B241" s="23"/>
      <c r="C241" s="574">
        <v>21.2</v>
      </c>
      <c r="D241" s="574" t="s">
        <v>583</v>
      </c>
      <c r="E241" s="26" t="s">
        <v>243</v>
      </c>
      <c r="F241" s="23" t="s">
        <v>2</v>
      </c>
      <c r="G241" s="584">
        <v>3</v>
      </c>
      <c r="H241" s="24"/>
      <c r="I241" s="599"/>
    </row>
    <row r="242" spans="1:9" s="2" customFormat="1" ht="15">
      <c r="A242" s="17"/>
      <c r="B242" s="19">
        <v>7</v>
      </c>
      <c r="C242" s="573"/>
      <c r="D242" s="573"/>
      <c r="E242" s="18" t="s">
        <v>474</v>
      </c>
      <c r="F242" s="18"/>
      <c r="G242" s="585"/>
      <c r="H242" s="27"/>
      <c r="I242" s="600"/>
    </row>
    <row r="243" spans="1:9" s="2" customFormat="1" ht="15">
      <c r="A243" s="17"/>
      <c r="B243" s="19"/>
      <c r="C243" s="573" t="s">
        <v>71</v>
      </c>
      <c r="D243" s="573"/>
      <c r="E243" s="18" t="s">
        <v>475</v>
      </c>
      <c r="F243" s="18"/>
      <c r="G243" s="585"/>
      <c r="H243" s="27"/>
      <c r="I243" s="600"/>
    </row>
    <row r="244" spans="1:9" ht="15">
      <c r="A244" s="25"/>
      <c r="B244" s="23"/>
      <c r="C244" s="574" t="s">
        <v>552</v>
      </c>
      <c r="D244" s="574" t="s">
        <v>571</v>
      </c>
      <c r="E244" s="26" t="s">
        <v>217</v>
      </c>
      <c r="F244" s="23" t="s">
        <v>2</v>
      </c>
      <c r="G244" s="584">
        <v>43</v>
      </c>
      <c r="H244" s="24"/>
      <c r="I244" s="599"/>
    </row>
    <row r="245" spans="1:9" s="2" customFormat="1" ht="15">
      <c r="A245" s="17"/>
      <c r="B245" s="19"/>
      <c r="C245" s="573" t="s">
        <v>73</v>
      </c>
      <c r="D245" s="573"/>
      <c r="E245" s="18" t="s">
        <v>477</v>
      </c>
      <c r="F245" s="18"/>
      <c r="G245" s="585"/>
      <c r="H245" s="27"/>
      <c r="I245" s="600"/>
    </row>
    <row r="246" spans="1:9" ht="15">
      <c r="A246" s="25"/>
      <c r="B246" s="23"/>
      <c r="C246" s="574" t="s">
        <v>75</v>
      </c>
      <c r="D246" s="574" t="s">
        <v>571</v>
      </c>
      <c r="E246" s="26" t="s">
        <v>217</v>
      </c>
      <c r="F246" s="23" t="s">
        <v>2</v>
      </c>
      <c r="G246" s="584">
        <f>+G244</f>
        <v>43</v>
      </c>
      <c r="H246" s="24"/>
      <c r="I246" s="599"/>
    </row>
    <row r="247" spans="1:9" s="2" customFormat="1" ht="15">
      <c r="A247" s="17"/>
      <c r="B247" s="19"/>
      <c r="C247" s="573" t="s">
        <v>78</v>
      </c>
      <c r="D247" s="573"/>
      <c r="E247" s="18" t="s">
        <v>479</v>
      </c>
      <c r="F247" s="18"/>
      <c r="G247" s="585"/>
      <c r="H247" s="27"/>
      <c r="I247" s="600"/>
    </row>
    <row r="248" spans="1:9" ht="15">
      <c r="A248" s="25"/>
      <c r="B248" s="23"/>
      <c r="C248" s="574" t="s">
        <v>553</v>
      </c>
      <c r="D248" s="574" t="s">
        <v>571</v>
      </c>
      <c r="E248" s="26" t="s">
        <v>217</v>
      </c>
      <c r="F248" s="23" t="s">
        <v>2</v>
      </c>
      <c r="G248" s="584">
        <f>+G246</f>
        <v>43</v>
      </c>
      <c r="H248" s="24"/>
      <c r="I248" s="599"/>
    </row>
    <row r="249" spans="1:9" ht="15">
      <c r="A249" s="25"/>
      <c r="B249" s="23"/>
      <c r="C249" s="574"/>
      <c r="D249" s="574"/>
      <c r="E249" s="26"/>
      <c r="F249" s="23"/>
      <c r="G249" s="584"/>
      <c r="H249" s="24"/>
      <c r="I249" s="599"/>
    </row>
    <row r="250" spans="1:9" s="2" customFormat="1" ht="15">
      <c r="A250" s="17">
        <v>4</v>
      </c>
      <c r="B250" s="19"/>
      <c r="C250" s="573"/>
      <c r="D250" s="573"/>
      <c r="E250" s="18" t="s">
        <v>244</v>
      </c>
      <c r="F250" s="18"/>
      <c r="G250" s="585"/>
      <c r="H250" s="27"/>
      <c r="I250" s="608"/>
    </row>
    <row r="251" spans="1:9" s="2" customFormat="1" ht="15">
      <c r="A251" s="17"/>
      <c r="B251" s="19">
        <v>1</v>
      </c>
      <c r="C251" s="573"/>
      <c r="D251" s="573"/>
      <c r="E251" s="18" t="s">
        <v>245</v>
      </c>
      <c r="F251" s="18"/>
      <c r="G251" s="585"/>
      <c r="H251" s="27"/>
      <c r="I251" s="600"/>
    </row>
    <row r="252" spans="1:9" ht="15">
      <c r="A252" s="25"/>
      <c r="B252" s="23"/>
      <c r="C252" s="574" t="s">
        <v>6</v>
      </c>
      <c r="D252" s="574" t="s">
        <v>616</v>
      </c>
      <c r="E252" s="26" t="s">
        <v>247</v>
      </c>
      <c r="F252" s="23" t="s">
        <v>2</v>
      </c>
      <c r="G252" s="584">
        <v>136</v>
      </c>
      <c r="H252" s="24"/>
      <c r="I252" s="599"/>
    </row>
    <row r="253" spans="1:9" ht="15">
      <c r="A253" s="25"/>
      <c r="B253" s="23"/>
      <c r="C253" s="574" t="s">
        <v>8</v>
      </c>
      <c r="D253" s="574" t="s">
        <v>576</v>
      </c>
      <c r="E253" s="26" t="s">
        <v>555</v>
      </c>
      <c r="F253" s="23" t="s">
        <v>2</v>
      </c>
      <c r="G253" s="584">
        <v>6</v>
      </c>
      <c r="H253" s="24"/>
      <c r="I253" s="599"/>
    </row>
    <row r="254" spans="1:9" ht="15">
      <c r="A254" s="25"/>
      <c r="B254" s="23"/>
      <c r="C254" s="574" t="s">
        <v>10</v>
      </c>
      <c r="D254" s="574" t="s">
        <v>608</v>
      </c>
      <c r="E254" s="26" t="s">
        <v>94</v>
      </c>
      <c r="F254" s="23" t="s">
        <v>2</v>
      </c>
      <c r="G254" s="584">
        <v>9</v>
      </c>
      <c r="H254" s="24"/>
      <c r="I254" s="599"/>
    </row>
    <row r="255" spans="1:9" ht="15">
      <c r="A255" s="25"/>
      <c r="B255" s="23"/>
      <c r="C255" s="574" t="s">
        <v>12</v>
      </c>
      <c r="D255" s="574" t="s">
        <v>620</v>
      </c>
      <c r="E255" s="26" t="s">
        <v>556</v>
      </c>
      <c r="F255" s="23" t="s">
        <v>2</v>
      </c>
      <c r="G255" s="584">
        <v>10</v>
      </c>
      <c r="H255" s="24"/>
      <c r="I255" s="599"/>
    </row>
    <row r="256" spans="1:9" ht="15">
      <c r="A256" s="25"/>
      <c r="B256" s="23"/>
      <c r="C256" s="574" t="s">
        <v>14</v>
      </c>
      <c r="D256" s="574" t="s">
        <v>586</v>
      </c>
      <c r="E256" s="26" t="s">
        <v>557</v>
      </c>
      <c r="F256" s="23" t="s">
        <v>2</v>
      </c>
      <c r="G256" s="584">
        <v>1</v>
      </c>
      <c r="H256" s="24"/>
      <c r="I256" s="599"/>
    </row>
    <row r="257" spans="1:9" s="2" customFormat="1" ht="15">
      <c r="A257" s="17"/>
      <c r="B257" s="19">
        <v>2</v>
      </c>
      <c r="C257" s="573"/>
      <c r="D257" s="573"/>
      <c r="E257" s="18" t="s">
        <v>554</v>
      </c>
      <c r="F257" s="18"/>
      <c r="G257" s="585"/>
      <c r="H257" s="27"/>
      <c r="I257" s="600"/>
    </row>
    <row r="258" spans="1:9" ht="15">
      <c r="A258" s="25"/>
      <c r="B258" s="23"/>
      <c r="C258" s="574" t="s">
        <v>33</v>
      </c>
      <c r="D258" s="574" t="s">
        <v>616</v>
      </c>
      <c r="E258" s="26" t="s">
        <v>247</v>
      </c>
      <c r="F258" s="23" t="s">
        <v>2</v>
      </c>
      <c r="G258" s="584">
        <v>136</v>
      </c>
      <c r="H258" s="24"/>
      <c r="I258" s="599"/>
    </row>
    <row r="259" spans="1:9" ht="15">
      <c r="A259" s="25"/>
      <c r="B259" s="23"/>
      <c r="C259" s="574" t="s">
        <v>35</v>
      </c>
      <c r="D259" s="574" t="s">
        <v>576</v>
      </c>
      <c r="E259" s="26" t="s">
        <v>555</v>
      </c>
      <c r="F259" s="23" t="s">
        <v>2</v>
      </c>
      <c r="G259" s="584">
        <v>6</v>
      </c>
      <c r="H259" s="24"/>
      <c r="I259" s="599"/>
    </row>
    <row r="260" spans="1:9" ht="15">
      <c r="A260" s="25"/>
      <c r="B260" s="23"/>
      <c r="C260" s="574" t="s">
        <v>40</v>
      </c>
      <c r="D260" s="574" t="s">
        <v>608</v>
      </c>
      <c r="E260" s="26" t="s">
        <v>94</v>
      </c>
      <c r="F260" s="23" t="s">
        <v>2</v>
      </c>
      <c r="G260" s="584">
        <v>9</v>
      </c>
      <c r="H260" s="24"/>
      <c r="I260" s="599"/>
    </row>
    <row r="261" spans="1:9" ht="15">
      <c r="A261" s="25"/>
      <c r="B261" s="23"/>
      <c r="C261" s="574"/>
      <c r="D261" s="574"/>
      <c r="E261" s="26"/>
      <c r="F261" s="23"/>
      <c r="G261" s="584"/>
      <c r="H261" s="24"/>
      <c r="I261" s="599"/>
    </row>
    <row r="262" spans="1:9" s="2" customFormat="1" ht="15">
      <c r="A262" s="17">
        <v>5</v>
      </c>
      <c r="B262" s="19"/>
      <c r="C262" s="573"/>
      <c r="D262" s="573"/>
      <c r="E262" s="18" t="s">
        <v>237</v>
      </c>
      <c r="F262" s="18"/>
      <c r="G262" s="585"/>
      <c r="H262" s="27"/>
      <c r="I262" s="608"/>
    </row>
    <row r="263" spans="1:9" ht="15">
      <c r="A263" s="25"/>
      <c r="B263" s="23"/>
      <c r="C263" s="574" t="s">
        <v>53</v>
      </c>
      <c r="D263" s="574" t="s">
        <v>580</v>
      </c>
      <c r="E263" s="26" t="s">
        <v>238</v>
      </c>
      <c r="F263" s="23" t="s">
        <v>2</v>
      </c>
      <c r="G263" s="584">
        <v>10</v>
      </c>
      <c r="H263" s="24"/>
      <c r="I263" s="599"/>
    </row>
    <row r="264" spans="1:9" ht="15">
      <c r="A264" s="25"/>
      <c r="B264" s="23"/>
      <c r="C264" s="574" t="s">
        <v>55</v>
      </c>
      <c r="D264" s="574" t="s">
        <v>595</v>
      </c>
      <c r="E264" s="26" t="s">
        <v>239</v>
      </c>
      <c r="F264" s="23" t="s">
        <v>2</v>
      </c>
      <c r="G264" s="584">
        <v>6</v>
      </c>
      <c r="H264" s="24"/>
      <c r="I264" s="599"/>
    </row>
    <row r="265" spans="1:9" ht="15">
      <c r="A265" s="25"/>
      <c r="B265" s="23"/>
      <c r="C265" s="574" t="s">
        <v>57</v>
      </c>
      <c r="D265" s="574" t="s">
        <v>618</v>
      </c>
      <c r="E265" s="26" t="s">
        <v>240</v>
      </c>
      <c r="F265" s="23" t="s">
        <v>2</v>
      </c>
      <c r="G265" s="584">
        <f>40+24</f>
        <v>64</v>
      </c>
      <c r="H265" s="24"/>
      <c r="I265" s="599"/>
    </row>
    <row r="266" spans="1:9" s="2" customFormat="1" ht="15">
      <c r="A266" s="17"/>
      <c r="B266" s="19"/>
      <c r="C266" s="573"/>
      <c r="D266" s="573"/>
      <c r="E266" s="18"/>
      <c r="F266" s="19"/>
      <c r="G266" s="583"/>
      <c r="H266" s="20"/>
      <c r="I266" s="598"/>
    </row>
    <row r="267" spans="5:9" ht="15">
      <c r="E267" s="12"/>
      <c r="H267" s="11"/>
      <c r="I267" s="13"/>
    </row>
    <row r="268" spans="1:9" s="2" customFormat="1" ht="15.75">
      <c r="A268" s="5"/>
      <c r="B268" s="5"/>
      <c r="C268" s="570"/>
      <c r="D268" s="570"/>
      <c r="E268" s="14" t="s">
        <v>256</v>
      </c>
      <c r="G268" s="587"/>
      <c r="H268" s="8"/>
      <c r="I268" s="7"/>
    </row>
    <row r="269" spans="5:9" ht="15">
      <c r="E269" s="4" t="s">
        <v>257</v>
      </c>
      <c r="H269" s="11"/>
      <c r="I269" s="3"/>
    </row>
    <row r="270" spans="1:9" s="2" customFormat="1" ht="15">
      <c r="A270" s="5"/>
      <c r="B270" s="5"/>
      <c r="C270" s="570"/>
      <c r="D270" s="570"/>
      <c r="E270" s="6" t="s">
        <v>258</v>
      </c>
      <c r="G270" s="587"/>
      <c r="H270" s="8"/>
      <c r="I270" s="7"/>
    </row>
    <row r="271" spans="8:9" ht="15">
      <c r="H271" s="15"/>
      <c r="I271" s="15"/>
    </row>
  </sheetData>
  <sheetProtection/>
  <autoFilter ref="A1:I312"/>
  <printOptions horizontalCentered="1" verticalCentered="1"/>
  <pageMargins left="0.4330708661417323" right="0.2362204724409449" top="0.9055118110236221" bottom="0.8267716535433072" header="0.31496062992125984" footer="0.5118110236220472"/>
  <pageSetup horizontalDpi="300" verticalDpi="300" orientation="portrait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fernando.castiblanco</dc:creator>
  <cp:keywords/>
  <dc:description/>
  <cp:lastModifiedBy>rosa.silva</cp:lastModifiedBy>
  <cp:lastPrinted>2011-09-14T18:58:23Z</cp:lastPrinted>
  <dcterms:created xsi:type="dcterms:W3CDTF">2011-09-07T01:07:35Z</dcterms:created>
  <dcterms:modified xsi:type="dcterms:W3CDTF">2011-09-29T16:51:06Z</dcterms:modified>
  <cp:category/>
  <cp:version/>
  <cp:contentType/>
  <cp:contentStatus/>
</cp:coreProperties>
</file>